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4115" windowHeight="8235" activeTab="2"/>
  </bookViews>
  <sheets>
    <sheet name="Chart2" sheetId="5" r:id="rId1"/>
    <sheet name="Chart1" sheetId="4" r:id="rId2"/>
    <sheet name="ورقة1" sheetId="1" r:id="rId3"/>
    <sheet name="ورقة2" sheetId="2" r:id="rId4"/>
    <sheet name="ورقة3" sheetId="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calcPr calcId="144525"/>
</workbook>
</file>

<file path=xl/calcChain.xml><?xml version="1.0" encoding="utf-8"?>
<calcChain xmlns="http://schemas.openxmlformats.org/spreadsheetml/2006/main">
  <c r="D28" i="1" l="1"/>
  <c r="D9" i="1"/>
  <c r="CD15" i="1" l="1"/>
  <c r="CD13" i="1" s="1"/>
  <c r="CC15" i="1"/>
  <c r="CC13" i="1" s="1"/>
  <c r="CB15" i="1"/>
  <c r="CB13" i="1" s="1"/>
  <c r="CD11" i="1"/>
  <c r="CD9" i="1" s="1"/>
  <c r="CC11" i="1"/>
  <c r="CC9" i="1" s="1"/>
  <c r="CB11" i="1"/>
  <c r="CD7" i="1"/>
  <c r="CD5" i="1" s="1"/>
  <c r="CC7" i="1"/>
  <c r="CC5" i="1" s="1"/>
  <c r="CB7" i="1"/>
  <c r="CB5" i="1" s="1"/>
  <c r="CD3" i="1"/>
  <c r="CD1" i="1" s="1"/>
  <c r="CC3" i="1"/>
  <c r="CC1" i="1" s="1"/>
  <c r="CB3" i="1"/>
  <c r="CB1" i="1" s="1"/>
  <c r="CD17" i="1"/>
  <c r="CC17" i="1"/>
  <c r="CB17" i="1"/>
  <c r="CB9" i="1"/>
  <c r="S9" i="1"/>
  <c r="CE17" i="1" l="1"/>
  <c r="CE13" i="1"/>
  <c r="CE9" i="1"/>
  <c r="CE5" i="1"/>
  <c r="CE1" i="1"/>
  <c r="CF1" i="1"/>
  <c r="CJ1" i="1"/>
  <c r="CL1" i="1" s="1"/>
  <c r="CN1" i="1" s="1"/>
  <c r="CP1" i="1" s="1"/>
  <c r="CF5" i="1"/>
  <c r="CJ5" i="1"/>
  <c r="CL5" i="1" s="1"/>
  <c r="CN5" i="1" s="1"/>
  <c r="CP5" i="1" s="1"/>
  <c r="CF9" i="1"/>
  <c r="CJ9" i="1"/>
  <c r="CL9" i="1" s="1"/>
  <c r="CN9" i="1" s="1"/>
  <c r="CP9" i="1" s="1"/>
  <c r="CF13" i="1"/>
  <c r="CJ13" i="1"/>
  <c r="CL13" i="1" s="1"/>
  <c r="CN13" i="1" s="1"/>
  <c r="CP13" i="1" s="1"/>
  <c r="CF17" i="1"/>
  <c r="CJ17" i="1"/>
  <c r="CL17" i="1" s="1"/>
  <c r="CN17" i="1" s="1"/>
  <c r="CP17" i="1" s="1"/>
  <c r="CG1" i="1"/>
  <c r="CK1" i="1"/>
  <c r="CM1" i="1" s="1"/>
  <c r="CO1" i="1" s="1"/>
  <c r="CQ1" i="1" s="1"/>
  <c r="CG5" i="1"/>
  <c r="CK5" i="1"/>
  <c r="CM5" i="1" s="1"/>
  <c r="CO5" i="1" s="1"/>
  <c r="CQ5" i="1" s="1"/>
  <c r="CG9" i="1"/>
  <c r="CK9" i="1"/>
  <c r="CM9" i="1" s="1"/>
  <c r="CO9" i="1" s="1"/>
  <c r="CQ9" i="1" s="1"/>
  <c r="CG13" i="1"/>
  <c r="CK13" i="1"/>
  <c r="CM13" i="1" s="1"/>
  <c r="CO13" i="1" s="1"/>
  <c r="CQ13" i="1" s="1"/>
  <c r="CG17" i="1"/>
  <c r="CK17" i="1"/>
  <c r="CM17" i="1" s="1"/>
  <c r="CO17" i="1" s="1"/>
  <c r="CQ17" i="1" s="1"/>
  <c r="CK18" i="1" l="1"/>
  <c r="CH17" i="1" s="1"/>
  <c r="CI17" i="1" s="1"/>
  <c r="CB18" i="1" s="1"/>
  <c r="CR13" i="1"/>
  <c r="CK14" i="1"/>
  <c r="CH13" i="1" s="1"/>
  <c r="CI13" i="1" s="1"/>
  <c r="CR5" i="1"/>
  <c r="CB14" i="1"/>
  <c r="CR17" i="1"/>
  <c r="CR9" i="1"/>
  <c r="CR1" i="1"/>
  <c r="CM6" i="1"/>
  <c r="CL6" i="1"/>
  <c r="CG6" i="1"/>
  <c r="CM10" i="1"/>
  <c r="CL10" i="1"/>
  <c r="CG10" i="1"/>
  <c r="CJ18" i="1"/>
  <c r="CJ10" i="1"/>
  <c r="CJ2" i="1"/>
  <c r="CM14" i="1"/>
  <c r="CL14" i="1"/>
  <c r="CG14" i="1"/>
  <c r="CH14" i="1" s="1"/>
  <c r="CC14" i="1"/>
  <c r="CD14" i="1" s="1"/>
  <c r="CE14" i="1" s="1"/>
  <c r="CS13" i="1"/>
  <c r="CT13" i="1" s="1"/>
  <c r="CC6" i="1"/>
  <c r="CD6" i="1" s="1"/>
  <c r="CE6" i="1" s="1"/>
  <c r="CS5" i="1"/>
  <c r="CT5" i="1" s="1"/>
  <c r="CM18" i="1"/>
  <c r="CL18" i="1"/>
  <c r="CG18" i="1"/>
  <c r="CM2" i="1"/>
  <c r="CL2" i="1"/>
  <c r="CG2" i="1"/>
  <c r="CJ14" i="1"/>
  <c r="CJ6" i="1"/>
  <c r="CK10" i="1"/>
  <c r="CH9" i="1" s="1"/>
  <c r="CI9" i="1" s="1"/>
  <c r="CK2" i="1"/>
  <c r="CH1" i="1" s="1"/>
  <c r="CI1" i="1" s="1"/>
  <c r="CK6" i="1"/>
  <c r="CH5" i="1" s="1"/>
  <c r="CI5" i="1" s="1"/>
  <c r="CU13" i="1" l="1"/>
  <c r="CU14" i="1" s="1"/>
  <c r="CG15" i="1"/>
  <c r="CB10" i="1"/>
  <c r="CH15" i="1"/>
  <c r="CC2" i="1"/>
  <c r="CD2" i="1" s="1"/>
  <c r="CE2" i="1" s="1"/>
  <c r="CS1" i="1"/>
  <c r="CT1" i="1" s="1"/>
  <c r="CH6" i="1"/>
  <c r="CB6" i="1"/>
  <c r="CC10" i="1"/>
  <c r="CD10" i="1" s="1"/>
  <c r="CE10" i="1" s="1"/>
  <c r="CS9" i="1"/>
  <c r="CT9" i="1" s="1"/>
  <c r="CB2" i="1"/>
  <c r="CC18" i="1"/>
  <c r="CD18" i="1" s="1"/>
  <c r="CE18" i="1" s="1"/>
  <c r="CS17" i="1"/>
  <c r="CT17" i="1" s="1"/>
  <c r="CI14" i="1" l="1"/>
  <c r="CF15" i="1" s="1"/>
  <c r="CI15" i="1" s="1"/>
  <c r="CH10" i="1"/>
  <c r="CH11" i="1" s="1"/>
  <c r="CH7" i="1"/>
  <c r="CU5" i="1"/>
  <c r="CU6" i="1" s="1"/>
  <c r="CG7" i="1"/>
  <c r="CH2" i="1"/>
  <c r="CH18" i="1"/>
  <c r="CC16" i="1" l="1"/>
  <c r="CD16" i="1" s="1"/>
  <c r="CG11" i="1"/>
  <c r="CU9" i="1"/>
  <c r="CI6" i="1"/>
  <c r="CC8" i="1" s="1"/>
  <c r="CJ16" i="1"/>
  <c r="CL16" i="1"/>
  <c r="CF16" i="1"/>
  <c r="CL15" i="1"/>
  <c r="CK15" i="1"/>
  <c r="CU17" i="1"/>
  <c r="CU18" i="1" s="1"/>
  <c r="CG19" i="1"/>
  <c r="CH19" i="1"/>
  <c r="CU1" i="1"/>
  <c r="CU2" i="1" s="1"/>
  <c r="CG3" i="1"/>
  <c r="CH3" i="1"/>
  <c r="CI18" i="1" l="1"/>
  <c r="CF19" i="1" s="1"/>
  <c r="CI19" i="1" s="1"/>
  <c r="CF7" i="1"/>
  <c r="CI7" i="1" s="1"/>
  <c r="CL7" i="1" s="1"/>
  <c r="CU10" i="1"/>
  <c r="CI10" i="1"/>
  <c r="CI2" i="1"/>
  <c r="CB16" i="1"/>
  <c r="CG16" i="1" s="1"/>
  <c r="CJ15" i="1" s="1"/>
  <c r="CH16" i="1" s="1"/>
  <c r="CJ8" i="1" l="1"/>
  <c r="CC20" i="1"/>
  <c r="CD20" i="1" s="1"/>
  <c r="CK7" i="1"/>
  <c r="CB8" i="1" s="1"/>
  <c r="CG8" i="1" s="1"/>
  <c r="CJ7" i="1" s="1"/>
  <c r="CK8" i="1" s="1"/>
  <c r="CM8" i="1" s="1"/>
  <c r="CF8" i="1"/>
  <c r="CD8" i="1" s="1"/>
  <c r="CL8" i="1"/>
  <c r="CK16" i="1"/>
  <c r="CM16" i="1" s="1"/>
  <c r="CC12" i="1"/>
  <c r="CF11" i="1"/>
  <c r="CI11" i="1" s="1"/>
  <c r="CJ20" i="1"/>
  <c r="CL20" i="1"/>
  <c r="CF20" i="1"/>
  <c r="CK19" i="1"/>
  <c r="CL19" i="1"/>
  <c r="CN16" i="1"/>
  <c r="CN15" i="1" s="1"/>
  <c r="CC4" i="1"/>
  <c r="CF3" i="1"/>
  <c r="CI3" i="1" s="1"/>
  <c r="CB20" i="1" l="1"/>
  <c r="CG20" i="1" s="1"/>
  <c r="CJ19" i="1" s="1"/>
  <c r="CK20" i="1" s="1"/>
  <c r="CM20" i="1" s="1"/>
  <c r="CM15" i="1"/>
  <c r="CL11" i="1"/>
  <c r="CJ12" i="1"/>
  <c r="CL12" i="1"/>
  <c r="CF12" i="1"/>
  <c r="CD12" i="1" s="1"/>
  <c r="CK11" i="1"/>
  <c r="CB12" i="1" s="1"/>
  <c r="CH8" i="1"/>
  <c r="CJ4" i="1"/>
  <c r="CL4" i="1"/>
  <c r="CF4" i="1"/>
  <c r="CD4" i="1" s="1"/>
  <c r="CK3" i="1"/>
  <c r="CL3" i="1"/>
  <c r="CN8" i="1"/>
  <c r="CN7" i="1" s="1"/>
  <c r="CH20" i="1" l="1"/>
  <c r="CG12" i="1"/>
  <c r="CJ11" i="1" s="1"/>
  <c r="CB4" i="1"/>
  <c r="CG4" i="1" s="1"/>
  <c r="CJ3" i="1" s="1"/>
  <c r="CN20" i="1"/>
  <c r="CN19" i="1" s="1"/>
  <c r="CM7" i="1"/>
  <c r="CH12" i="1" l="1"/>
  <c r="CK12" i="1"/>
  <c r="CM12" i="1" s="1"/>
  <c r="CN12" i="1" s="1"/>
  <c r="CN11" i="1" s="1"/>
  <c r="CM19" i="1"/>
  <c r="CH4" i="1"/>
  <c r="CK4" i="1"/>
  <c r="CM4" i="1" s="1"/>
  <c r="CM11" i="1" l="1"/>
  <c r="CN4" i="1"/>
  <c r="CN3" i="1" s="1"/>
  <c r="CM3" i="1" l="1"/>
  <c r="BV430" i="1" l="1"/>
  <c r="BC430" i="1"/>
  <c r="AJ430" i="1"/>
  <c r="Q430" i="1"/>
  <c r="BS427" i="1"/>
  <c r="AZ427" i="1"/>
  <c r="AG427" i="1"/>
  <c r="N427" i="1"/>
  <c r="BV414" i="1"/>
  <c r="BC414" i="1"/>
  <c r="AJ414" i="1"/>
  <c r="Q414" i="1"/>
  <c r="BV362" i="1"/>
  <c r="BC362" i="1"/>
  <c r="AJ362" i="1"/>
  <c r="Q362" i="1"/>
  <c r="BS359" i="1"/>
  <c r="AZ359" i="1"/>
  <c r="AG359" i="1"/>
  <c r="N359" i="1"/>
  <c r="BV346" i="1"/>
  <c r="BC346" i="1"/>
  <c r="AJ346" i="1"/>
  <c r="Q346" i="1"/>
  <c r="AW328" i="1"/>
  <c r="K328" i="1"/>
  <c r="AT323" i="1"/>
  <c r="H323" i="1"/>
  <c r="AW317" i="1"/>
  <c r="AO317" i="1"/>
  <c r="K317" i="1"/>
  <c r="C317" i="1"/>
  <c r="AU297" i="1"/>
  <c r="AU323" i="1" s="1"/>
  <c r="AW291" i="1"/>
  <c r="AO291" i="1"/>
  <c r="K291" i="1"/>
  <c r="C291" i="1"/>
  <c r="AT278" i="1"/>
  <c r="AU278" i="1" s="1"/>
  <c r="I278" i="1"/>
  <c r="H278" i="1"/>
  <c r="AW277" i="1"/>
  <c r="K277" i="1"/>
  <c r="AT274" i="1"/>
  <c r="AS274" i="1"/>
  <c r="AR274" i="1"/>
  <c r="AW278" i="1" s="1"/>
  <c r="AN275" i="1" s="1"/>
  <c r="AQ274" i="1"/>
  <c r="AV278" i="1" s="1"/>
  <c r="AP274" i="1"/>
  <c r="V9" i="1" s="1"/>
  <c r="AO274" i="1"/>
  <c r="H274" i="1"/>
  <c r="G274" i="1"/>
  <c r="F274" i="1"/>
  <c r="K278" i="1" s="1"/>
  <c r="B275" i="1" s="1"/>
  <c r="E274" i="1"/>
  <c r="J278" i="1" s="1"/>
  <c r="D274" i="1"/>
  <c r="R9" i="1" s="1"/>
  <c r="C274" i="1"/>
  <c r="AT269" i="1"/>
  <c r="AU269" i="1" s="1"/>
  <c r="I269" i="1"/>
  <c r="H269" i="1"/>
  <c r="AW268" i="1"/>
  <c r="K268" i="1"/>
  <c r="AM264" i="1"/>
  <c r="AW262" i="1"/>
  <c r="K262" i="1"/>
  <c r="AO259" i="1"/>
  <c r="AR296" i="1" s="1"/>
  <c r="AR322" i="1" s="1"/>
  <c r="C259" i="1"/>
  <c r="F296" i="1" s="1"/>
  <c r="F322" i="1" s="1"/>
  <c r="AW258" i="1"/>
  <c r="AQ298" i="1" s="1"/>
  <c r="AQ324" i="1" s="1"/>
  <c r="AU258" i="1"/>
  <c r="AQ295" i="1" s="1"/>
  <c r="AQ321" i="1" s="1"/>
  <c r="AN258" i="1"/>
  <c r="AW296" i="1" s="1"/>
  <c r="AW322" i="1" s="1"/>
  <c r="AM258" i="1"/>
  <c r="AV296" i="1" s="1"/>
  <c r="K258" i="1"/>
  <c r="E298" i="1" s="1"/>
  <c r="E324" i="1" s="1"/>
  <c r="I258" i="1"/>
  <c r="E295" i="1" s="1"/>
  <c r="E321" i="1" s="1"/>
  <c r="B258" i="1"/>
  <c r="K296" i="1" s="1"/>
  <c r="K322" i="1" s="1"/>
  <c r="A258" i="1"/>
  <c r="J296" i="1" s="1"/>
  <c r="AW257" i="1"/>
  <c r="AQ297" i="1" s="1"/>
  <c r="AQ323" i="1" s="1"/>
  <c r="AU257" i="1"/>
  <c r="AQ294" i="1" s="1"/>
  <c r="AQ320" i="1" s="1"/>
  <c r="AP257" i="1"/>
  <c r="AX263" i="1" s="1"/>
  <c r="AO260" i="1" s="1"/>
  <c r="AN257" i="1"/>
  <c r="AV298" i="1" s="1"/>
  <c r="AM257" i="1"/>
  <c r="AU298" i="1" s="1"/>
  <c r="K257" i="1"/>
  <c r="E297" i="1" s="1"/>
  <c r="E323" i="1" s="1"/>
  <c r="I257" i="1"/>
  <c r="E294" i="1" s="1"/>
  <c r="E320" i="1" s="1"/>
  <c r="D257" i="1"/>
  <c r="L263" i="1" s="1"/>
  <c r="C260" i="1" s="1"/>
  <c r="B257" i="1"/>
  <c r="J298" i="1" s="1"/>
  <c r="A257" i="1"/>
  <c r="I298" i="1" s="1"/>
  <c r="L269" i="1" s="1"/>
  <c r="C266" i="1" s="1"/>
  <c r="AW256" i="1"/>
  <c r="AQ296" i="1" s="1"/>
  <c r="AQ322" i="1" s="1"/>
  <c r="AU256" i="1"/>
  <c r="AQ293" i="1" s="1"/>
  <c r="AQ319" i="1" s="1"/>
  <c r="AP256" i="1"/>
  <c r="AW263" i="1" s="1"/>
  <c r="AN260" i="1" s="1"/>
  <c r="AN256" i="1"/>
  <c r="AV297" i="1" s="1"/>
  <c r="K256" i="1"/>
  <c r="E296" i="1" s="1"/>
  <c r="E322" i="1" s="1"/>
  <c r="I256" i="1"/>
  <c r="E293" i="1" s="1"/>
  <c r="E319" i="1" s="1"/>
  <c r="D256" i="1"/>
  <c r="K263" i="1" s="1"/>
  <c r="B260" i="1" s="1"/>
  <c r="B256" i="1"/>
  <c r="J297" i="1" s="1"/>
  <c r="A256" i="1"/>
  <c r="I297" i="1" s="1"/>
  <c r="AW255" i="1"/>
  <c r="AQ291" i="1" s="1"/>
  <c r="AQ317" i="1" s="1"/>
  <c r="AU255" i="1"/>
  <c r="AQ292" i="1" s="1"/>
  <c r="AQ318" i="1" s="1"/>
  <c r="AP255" i="1"/>
  <c r="AV263" i="1" s="1"/>
  <c r="AM260" i="1" s="1"/>
  <c r="AN255" i="1"/>
  <c r="AP285" i="1" s="1"/>
  <c r="AM255" i="1"/>
  <c r="AO285" i="1" s="1"/>
  <c r="K255" i="1"/>
  <c r="E291" i="1" s="1"/>
  <c r="E317" i="1" s="1"/>
  <c r="I255" i="1"/>
  <c r="E292" i="1" s="1"/>
  <c r="E318" i="1" s="1"/>
  <c r="D255" i="1"/>
  <c r="J263" i="1" s="1"/>
  <c r="A260" i="1" s="1"/>
  <c r="B255" i="1"/>
  <c r="D285" i="1" s="1"/>
  <c r="A255" i="1"/>
  <c r="C285" i="1" s="1"/>
  <c r="BV208" i="1"/>
  <c r="BC208" i="1"/>
  <c r="AJ208" i="1"/>
  <c r="Q208" i="1"/>
  <c r="BS205" i="1"/>
  <c r="AZ205" i="1"/>
  <c r="AG205" i="1"/>
  <c r="N205" i="1"/>
  <c r="BV192" i="1"/>
  <c r="BV240" i="1" s="1"/>
  <c r="BC192" i="1"/>
  <c r="BC240" i="1" s="1"/>
  <c r="AJ192" i="1"/>
  <c r="AJ240" i="1" s="1"/>
  <c r="Q192" i="1"/>
  <c r="Q240" i="1" s="1"/>
  <c r="BV140" i="1"/>
  <c r="BC140" i="1"/>
  <c r="AJ140" i="1"/>
  <c r="Q140" i="1"/>
  <c r="BS137" i="1"/>
  <c r="AZ137" i="1"/>
  <c r="AG137" i="1"/>
  <c r="N137" i="1"/>
  <c r="BV124" i="1"/>
  <c r="BC124" i="1"/>
  <c r="AJ124" i="1"/>
  <c r="Q124" i="1"/>
  <c r="AW106" i="1"/>
  <c r="K106" i="1"/>
  <c r="AT101" i="1"/>
  <c r="H101" i="1"/>
  <c r="AW95" i="1"/>
  <c r="AO95" i="1"/>
  <c r="K95" i="1"/>
  <c r="C95" i="1"/>
  <c r="AW69" i="1"/>
  <c r="AO69" i="1"/>
  <c r="K69" i="1"/>
  <c r="C69" i="1"/>
  <c r="AU56" i="1"/>
  <c r="AT56" i="1"/>
  <c r="H56" i="1"/>
  <c r="I56" i="1" s="1"/>
  <c r="AW55" i="1"/>
  <c r="K55" i="1"/>
  <c r="AT52" i="1"/>
  <c r="AS52" i="1"/>
  <c r="AR52" i="1"/>
  <c r="AW56" i="1" s="1"/>
  <c r="AN53" i="1" s="1"/>
  <c r="AQ52" i="1"/>
  <c r="AV56" i="1" s="1"/>
  <c r="AP52" i="1"/>
  <c r="AO52" i="1"/>
  <c r="H52" i="1"/>
  <c r="G52" i="1"/>
  <c r="F52" i="1"/>
  <c r="K56" i="1" s="1"/>
  <c r="B53" i="1" s="1"/>
  <c r="E52" i="1"/>
  <c r="J56" i="1" s="1"/>
  <c r="D52" i="1"/>
  <c r="C9" i="1" s="1"/>
  <c r="C52" i="1"/>
  <c r="AT47" i="1"/>
  <c r="AU47" i="1" s="1"/>
  <c r="H47" i="1"/>
  <c r="I47" i="1" s="1"/>
  <c r="AW46" i="1"/>
  <c r="K46" i="1"/>
  <c r="AM42" i="1"/>
  <c r="A42" i="1"/>
  <c r="AW40" i="1"/>
  <c r="K40" i="1"/>
  <c r="AO37" i="1"/>
  <c r="AR74" i="1" s="1"/>
  <c r="AR100" i="1" s="1"/>
  <c r="C37" i="1"/>
  <c r="F74" i="1" s="1"/>
  <c r="F100" i="1" s="1"/>
  <c r="AW36" i="1"/>
  <c r="AQ76" i="1" s="1"/>
  <c r="AQ102" i="1" s="1"/>
  <c r="AU36" i="1"/>
  <c r="AQ73" i="1" s="1"/>
  <c r="AQ99" i="1" s="1"/>
  <c r="AN36" i="1"/>
  <c r="AW74" i="1" s="1"/>
  <c r="AW100" i="1" s="1"/>
  <c r="AM36" i="1"/>
  <c r="AV74" i="1" s="1"/>
  <c r="K36" i="1"/>
  <c r="E76" i="1" s="1"/>
  <c r="E102" i="1" s="1"/>
  <c r="I36" i="1"/>
  <c r="E73" i="1" s="1"/>
  <c r="E99" i="1" s="1"/>
  <c r="B36" i="1"/>
  <c r="K74" i="1" s="1"/>
  <c r="K100" i="1" s="1"/>
  <c r="A36" i="1"/>
  <c r="J74" i="1" s="1"/>
  <c r="AW35" i="1"/>
  <c r="AQ75" i="1" s="1"/>
  <c r="AQ101" i="1" s="1"/>
  <c r="AU35" i="1"/>
  <c r="AQ72" i="1" s="1"/>
  <c r="AQ98" i="1" s="1"/>
  <c r="AP35" i="1"/>
  <c r="AX41" i="1" s="1"/>
  <c r="AO38" i="1" s="1"/>
  <c r="AN35" i="1"/>
  <c r="AV76" i="1" s="1"/>
  <c r="AM35" i="1"/>
  <c r="AU76" i="1" s="1"/>
  <c r="K35" i="1"/>
  <c r="E75" i="1" s="1"/>
  <c r="E101" i="1" s="1"/>
  <c r="I35" i="1"/>
  <c r="E72" i="1" s="1"/>
  <c r="E98" i="1" s="1"/>
  <c r="D35" i="1"/>
  <c r="L41" i="1" s="1"/>
  <c r="C38" i="1" s="1"/>
  <c r="B35" i="1"/>
  <c r="J76" i="1" s="1"/>
  <c r="A35" i="1"/>
  <c r="I76" i="1" s="1"/>
  <c r="AW34" i="1"/>
  <c r="AQ74" i="1" s="1"/>
  <c r="AQ100" i="1" s="1"/>
  <c r="AU34" i="1"/>
  <c r="AQ71" i="1" s="1"/>
  <c r="AQ97" i="1" s="1"/>
  <c r="AP34" i="1"/>
  <c r="AW41" i="1" s="1"/>
  <c r="AN38" i="1" s="1"/>
  <c r="H29" i="1" s="1"/>
  <c r="AN34" i="1"/>
  <c r="AV75" i="1" s="1"/>
  <c r="AM34" i="1"/>
  <c r="AU75" i="1" s="1"/>
  <c r="K34" i="1"/>
  <c r="E74" i="1" s="1"/>
  <c r="E100" i="1" s="1"/>
  <c r="I34" i="1"/>
  <c r="E71" i="1" s="1"/>
  <c r="E97" i="1" s="1"/>
  <c r="D34" i="1"/>
  <c r="K41" i="1" s="1"/>
  <c r="B38" i="1" s="1"/>
  <c r="D29" i="1" s="1"/>
  <c r="B34" i="1"/>
  <c r="J75" i="1" s="1"/>
  <c r="A34" i="1"/>
  <c r="I75" i="1" s="1"/>
  <c r="AW33" i="1"/>
  <c r="AQ69" i="1" s="1"/>
  <c r="AQ95" i="1" s="1"/>
  <c r="AU33" i="1"/>
  <c r="AQ70" i="1" s="1"/>
  <c r="AQ96" i="1" s="1"/>
  <c r="AP33" i="1"/>
  <c r="AV41" i="1" s="1"/>
  <c r="AM38" i="1" s="1"/>
  <c r="AN33" i="1"/>
  <c r="AP63" i="1" s="1"/>
  <c r="AM33" i="1"/>
  <c r="AO63" i="1" s="1"/>
  <c r="K33" i="1"/>
  <c r="E69" i="1" s="1"/>
  <c r="E95" i="1" s="1"/>
  <c r="I33" i="1"/>
  <c r="E70" i="1" s="1"/>
  <c r="E96" i="1" s="1"/>
  <c r="D33" i="1"/>
  <c r="J41" i="1" s="1"/>
  <c r="A38" i="1" s="1"/>
  <c r="B33" i="1"/>
  <c r="D63" i="1" s="1"/>
  <c r="A33" i="1"/>
  <c r="C63" i="1" s="1"/>
  <c r="W30" i="1"/>
  <c r="S30" i="1"/>
  <c r="W29" i="1"/>
  <c r="S29" i="1"/>
  <c r="W28" i="1"/>
  <c r="S28" i="1"/>
  <c r="AZ22" i="1"/>
  <c r="AY22" i="1"/>
  <c r="AX22" i="1"/>
  <c r="AX20" i="1" s="1"/>
  <c r="AF22" i="1"/>
  <c r="AE22" i="1"/>
  <c r="AD22" i="1"/>
  <c r="AD20" i="1" s="1"/>
  <c r="AZ20" i="1"/>
  <c r="AY20" i="1"/>
  <c r="AF20" i="1"/>
  <c r="AE20" i="1"/>
  <c r="AZ18" i="1"/>
  <c r="AY18" i="1"/>
  <c r="AY16" i="1" s="1"/>
  <c r="AX18" i="1"/>
  <c r="AX16" i="1" s="1"/>
  <c r="AF18" i="1"/>
  <c r="AE18" i="1"/>
  <c r="AE16" i="1" s="1"/>
  <c r="AD18" i="1"/>
  <c r="AD16" i="1" s="1"/>
  <c r="AZ16" i="1"/>
  <c r="AF16" i="1"/>
  <c r="AZ14" i="1"/>
  <c r="AZ12" i="1" s="1"/>
  <c r="AY14" i="1"/>
  <c r="AY12" i="1" s="1"/>
  <c r="AX14" i="1"/>
  <c r="AX12" i="1" s="1"/>
  <c r="AF14" i="1"/>
  <c r="AE14" i="1"/>
  <c r="AE12" i="1" s="1"/>
  <c r="AD14" i="1"/>
  <c r="AD12" i="1" s="1"/>
  <c r="AF12" i="1"/>
  <c r="AZ10" i="1"/>
  <c r="AZ8" i="1" s="1"/>
  <c r="AY10" i="1"/>
  <c r="AY8" i="1" s="1"/>
  <c r="AX10" i="1"/>
  <c r="AF10" i="1"/>
  <c r="AE10" i="1"/>
  <c r="AD10" i="1"/>
  <c r="AX8" i="1"/>
  <c r="AF8" i="1"/>
  <c r="AE8" i="1"/>
  <c r="AD8" i="1"/>
  <c r="W7" i="1"/>
  <c r="W5" i="1" s="1"/>
  <c r="V7" i="1"/>
  <c r="V5" i="1" s="1"/>
  <c r="U7" i="1"/>
  <c r="U5" i="1" s="1"/>
  <c r="C7" i="1"/>
  <c r="B7" i="1"/>
  <c r="B5" i="1" s="1"/>
  <c r="A7" i="1"/>
  <c r="A5" i="1" s="1"/>
  <c r="C5" i="1"/>
  <c r="W3" i="1"/>
  <c r="W1" i="1" s="1"/>
  <c r="V3" i="1"/>
  <c r="V1" i="1" s="1"/>
  <c r="U3" i="1"/>
  <c r="C3" i="1"/>
  <c r="B3" i="1"/>
  <c r="A3" i="1"/>
  <c r="U1" i="1"/>
  <c r="C1" i="1"/>
  <c r="B1" i="1"/>
  <c r="A1" i="1"/>
  <c r="I1" i="1" l="1"/>
  <c r="K1" i="1" s="1"/>
  <c r="M1" i="1" s="1"/>
  <c r="O1" i="1" s="1"/>
  <c r="BF20" i="1"/>
  <c r="BH20" i="1" s="1"/>
  <c r="BJ20" i="1" s="1"/>
  <c r="BL20" i="1" s="1"/>
  <c r="BA20" i="1"/>
  <c r="BF16" i="1"/>
  <c r="BH16" i="1" s="1"/>
  <c r="BJ16" i="1" s="1"/>
  <c r="BL16" i="1" s="1"/>
  <c r="BA16" i="1"/>
  <c r="BF12" i="1"/>
  <c r="BH12" i="1" s="1"/>
  <c r="BJ12" i="1" s="1"/>
  <c r="BL12" i="1" s="1"/>
  <c r="BA12" i="1"/>
  <c r="D5" i="1"/>
  <c r="AL12" i="1"/>
  <c r="AN12" i="1" s="1"/>
  <c r="AP12" i="1" s="1"/>
  <c r="AR12" i="1" s="1"/>
  <c r="AG12" i="1"/>
  <c r="J1" i="1"/>
  <c r="L1" i="1" s="1"/>
  <c r="N1" i="1" s="1"/>
  <c r="P1" i="1" s="1"/>
  <c r="Q1" i="1" s="1"/>
  <c r="AL8" i="1"/>
  <c r="AN8" i="1" s="1"/>
  <c r="AP8" i="1" s="1"/>
  <c r="AR8" i="1" s="1"/>
  <c r="AX56" i="1"/>
  <c r="AO53" i="1" s="1"/>
  <c r="AV53" i="1" s="1"/>
  <c r="AX53" i="1" s="1"/>
  <c r="AZ53" i="1" s="1"/>
  <c r="BB53" i="1" s="1"/>
  <c r="L56" i="1"/>
  <c r="C53" i="1" s="1"/>
  <c r="J53" i="1" s="1"/>
  <c r="L53" i="1" s="1"/>
  <c r="N53" i="1" s="1"/>
  <c r="P53" i="1" s="1"/>
  <c r="AL16" i="1"/>
  <c r="AN16" i="1" s="1"/>
  <c r="AP16" i="1" s="1"/>
  <c r="AR16" i="1" s="1"/>
  <c r="Y1" i="1"/>
  <c r="AG16" i="1"/>
  <c r="AG20" i="1"/>
  <c r="AL20" i="1"/>
  <c r="AN20" i="1" s="1"/>
  <c r="AP20" i="1" s="1"/>
  <c r="AR20" i="1" s="1"/>
  <c r="L278" i="1"/>
  <c r="C275" i="1" s="1"/>
  <c r="F275" i="1" s="1"/>
  <c r="AX278" i="1"/>
  <c r="AO275" i="1" s="1"/>
  <c r="AR275" i="1" s="1"/>
  <c r="BF8" i="1"/>
  <c r="BH8" i="1" s="1"/>
  <c r="BJ8" i="1" s="1"/>
  <c r="BL8" i="1" s="1"/>
  <c r="AD1" i="1"/>
  <c r="AF1" i="1" s="1"/>
  <c r="AH1" i="1" s="1"/>
  <c r="AJ1" i="1" s="1"/>
  <c r="Z1" i="1"/>
  <c r="X5" i="1"/>
  <c r="AC5" i="1"/>
  <c r="AE5" i="1" s="1"/>
  <c r="AG5" i="1" s="1"/>
  <c r="AI5" i="1" s="1"/>
  <c r="Y5" i="1"/>
  <c r="E1" i="1"/>
  <c r="AC1" i="1"/>
  <c r="AE1" i="1" s="1"/>
  <c r="AG1" i="1" s="1"/>
  <c r="AI1" i="1" s="1"/>
  <c r="E5" i="1"/>
  <c r="I5" i="1"/>
  <c r="K5" i="1" s="1"/>
  <c r="M5" i="1" s="1"/>
  <c r="O5" i="1" s="1"/>
  <c r="I38" i="1"/>
  <c r="K38" i="1" s="1"/>
  <c r="M38" i="1" s="1"/>
  <c r="O38" i="1" s="1"/>
  <c r="E38" i="1"/>
  <c r="D38" i="1"/>
  <c r="AP89" i="1"/>
  <c r="AQ81" i="1"/>
  <c r="AQ82" i="1" s="1"/>
  <c r="AY75" i="1"/>
  <c r="AU72" i="1"/>
  <c r="AV72" i="1" s="1"/>
  <c r="AQ87" i="1"/>
  <c r="AM86" i="1"/>
  <c r="AR86" i="1" s="1"/>
  <c r="I101" i="1"/>
  <c r="I81" i="1"/>
  <c r="J81" i="1" s="1"/>
  <c r="J38" i="1"/>
  <c r="L38" i="1" s="1"/>
  <c r="N38" i="1" s="1"/>
  <c r="P38" i="1" s="1"/>
  <c r="F38" i="1"/>
  <c r="D30" i="1"/>
  <c r="AV102" i="1"/>
  <c r="AU84" i="1"/>
  <c r="L74" i="1"/>
  <c r="J100" i="1"/>
  <c r="L73" i="1"/>
  <c r="L72" i="1" s="1"/>
  <c r="J33" i="1" s="1"/>
  <c r="C13" i="1" s="1"/>
  <c r="AV100" i="1"/>
  <c r="AX73" i="1"/>
  <c r="AX72" i="1" s="1"/>
  <c r="AV33" i="1" s="1"/>
  <c r="G13" i="1" s="1"/>
  <c r="AX74" i="1"/>
  <c r="D1" i="1"/>
  <c r="X1" i="1"/>
  <c r="AD2" i="1" s="1"/>
  <c r="AA1" i="1" s="1"/>
  <c r="AB1" i="1" s="1"/>
  <c r="F5" i="1"/>
  <c r="J5" i="1"/>
  <c r="L5" i="1" s="1"/>
  <c r="N5" i="1" s="1"/>
  <c r="P5" i="1" s="1"/>
  <c r="Z5" i="1"/>
  <c r="AD5" i="1"/>
  <c r="AF5" i="1" s="1"/>
  <c r="AH5" i="1" s="1"/>
  <c r="AJ5" i="1" s="1"/>
  <c r="AG8" i="1"/>
  <c r="BA8" i="1"/>
  <c r="AU38" i="1"/>
  <c r="AW38" i="1" s="1"/>
  <c r="AY38" i="1" s="1"/>
  <c r="BA38" i="1" s="1"/>
  <c r="AQ38" i="1"/>
  <c r="AP38" i="1"/>
  <c r="H28" i="1"/>
  <c r="S125" i="1"/>
  <c r="K47" i="1"/>
  <c r="B44" i="1" s="1"/>
  <c r="I82" i="1"/>
  <c r="J82" i="1" s="1"/>
  <c r="J101" i="1"/>
  <c r="AU101" i="1"/>
  <c r="AU81" i="1"/>
  <c r="AV81" i="1" s="1"/>
  <c r="H30" i="1"/>
  <c r="AV38" i="1"/>
  <c r="AX38" i="1" s="1"/>
  <c r="AZ38" i="1" s="1"/>
  <c r="BB38" i="1" s="1"/>
  <c r="AR38" i="1"/>
  <c r="AH8" i="1"/>
  <c r="BB8" i="1"/>
  <c r="C89" i="1"/>
  <c r="F87" i="1"/>
  <c r="B86" i="1"/>
  <c r="G86" i="1" s="1"/>
  <c r="F81" i="1"/>
  <c r="F82" i="1" s="1"/>
  <c r="L80" i="1"/>
  <c r="D65" i="1"/>
  <c r="D66" i="1" s="1"/>
  <c r="D64" i="1"/>
  <c r="A83" i="1"/>
  <c r="A84" i="1" s="1"/>
  <c r="N75" i="1"/>
  <c r="I70" i="1"/>
  <c r="J47" i="1"/>
  <c r="A44" i="1" s="1"/>
  <c r="BE125" i="1"/>
  <c r="AU82" i="1"/>
  <c r="AV82" i="1" s="1"/>
  <c r="AW47" i="1"/>
  <c r="AN44" i="1" s="1"/>
  <c r="AV101" i="1"/>
  <c r="I102" i="1"/>
  <c r="L47" i="1"/>
  <c r="C44" i="1" s="1"/>
  <c r="I83" i="1"/>
  <c r="J83" i="1" s="1"/>
  <c r="F1" i="1"/>
  <c r="AI8" i="1"/>
  <c r="AM8" i="1"/>
  <c r="AO8" i="1" s="1"/>
  <c r="AQ8" i="1" s="1"/>
  <c r="AS8" i="1" s="1"/>
  <c r="AT8" i="1" s="1"/>
  <c r="BC8" i="1"/>
  <c r="BG8" i="1"/>
  <c r="BI8" i="1" s="1"/>
  <c r="BK8" i="1" s="1"/>
  <c r="BM8" i="1" s="1"/>
  <c r="E87" i="1"/>
  <c r="A86" i="1"/>
  <c r="F86" i="1" s="1"/>
  <c r="E81" i="1"/>
  <c r="E82" i="1" s="1"/>
  <c r="I72" i="1"/>
  <c r="J72" i="1" s="1"/>
  <c r="D89" i="1"/>
  <c r="M75" i="1"/>
  <c r="AP65" i="1"/>
  <c r="AP66" i="1" s="1"/>
  <c r="AO89" i="1"/>
  <c r="AR87" i="1"/>
  <c r="AN86" i="1"/>
  <c r="AS86" i="1" s="1"/>
  <c r="AM83" i="1"/>
  <c r="AM84" i="1" s="1"/>
  <c r="AV47" i="1"/>
  <c r="AM44" i="1" s="1"/>
  <c r="AR81" i="1"/>
  <c r="AR82" i="1" s="1"/>
  <c r="AX80" i="1"/>
  <c r="AZ75" i="1"/>
  <c r="AU70" i="1"/>
  <c r="AP64" i="1"/>
  <c r="I84" i="1"/>
  <c r="J102" i="1"/>
  <c r="AU102" i="1"/>
  <c r="AU83" i="1"/>
  <c r="AV83" i="1" s="1"/>
  <c r="AX47" i="1"/>
  <c r="AO44" i="1" s="1"/>
  <c r="AI12" i="1"/>
  <c r="AM12" i="1"/>
  <c r="AO12" i="1" s="1"/>
  <c r="AQ12" i="1" s="1"/>
  <c r="AS12" i="1" s="1"/>
  <c r="AT12" i="1" s="1"/>
  <c r="BC12" i="1"/>
  <c r="BG12" i="1"/>
  <c r="BI12" i="1" s="1"/>
  <c r="BK12" i="1" s="1"/>
  <c r="BM12" i="1" s="1"/>
  <c r="BN12" i="1" s="1"/>
  <c r="AI16" i="1"/>
  <c r="AM16" i="1"/>
  <c r="AO16" i="1" s="1"/>
  <c r="AQ16" i="1" s="1"/>
  <c r="AS16" i="1" s="1"/>
  <c r="AT16" i="1" s="1"/>
  <c r="BC16" i="1"/>
  <c r="BG16" i="1"/>
  <c r="BI16" i="1" s="1"/>
  <c r="BK16" i="1" s="1"/>
  <c r="BM16" i="1" s="1"/>
  <c r="AI20" i="1"/>
  <c r="AM20" i="1"/>
  <c r="AO20" i="1" s="1"/>
  <c r="AQ20" i="1" s="1"/>
  <c r="AS20" i="1" s="1"/>
  <c r="AT20" i="1" s="1"/>
  <c r="BC20" i="1"/>
  <c r="BG20" i="1"/>
  <c r="BI20" i="1" s="1"/>
  <c r="BK20" i="1" s="1"/>
  <c r="BM20" i="1" s="1"/>
  <c r="BN20" i="1" s="1"/>
  <c r="BC172" i="1"/>
  <c r="BC147" i="1"/>
  <c r="A53" i="1"/>
  <c r="AM53" i="1"/>
  <c r="AJ172" i="1"/>
  <c r="AJ147" i="1"/>
  <c r="AH12" i="1"/>
  <c r="AL13" i="1" s="1"/>
  <c r="BB12" i="1"/>
  <c r="BF13" i="1" s="1"/>
  <c r="AH16" i="1"/>
  <c r="AL17" i="1" s="1"/>
  <c r="BB16" i="1"/>
  <c r="AH20" i="1"/>
  <c r="AL21" i="1" s="1"/>
  <c r="BB20" i="1"/>
  <c r="BF21" i="1" s="1"/>
  <c r="Q172" i="1"/>
  <c r="Q147" i="1"/>
  <c r="BV172" i="1"/>
  <c r="BV147" i="1"/>
  <c r="AJ215" i="1"/>
  <c r="D311" i="1"/>
  <c r="M297" i="1"/>
  <c r="E309" i="1"/>
  <c r="A308" i="1"/>
  <c r="F308" i="1" s="1"/>
  <c r="E303" i="1"/>
  <c r="E304" i="1" s="1"/>
  <c r="I294" i="1"/>
  <c r="J294" i="1" s="1"/>
  <c r="AR303" i="1"/>
  <c r="AR304" i="1" s="1"/>
  <c r="AX302" i="1"/>
  <c r="AZ297" i="1"/>
  <c r="AU292" i="1"/>
  <c r="AO311" i="1"/>
  <c r="AR309" i="1"/>
  <c r="AN308" i="1"/>
  <c r="AS308" i="1" s="1"/>
  <c r="AM305" i="1"/>
  <c r="AM306" i="1" s="1"/>
  <c r="AV269" i="1"/>
  <c r="AM266" i="1" s="1"/>
  <c r="AP286" i="1"/>
  <c r="AP287" i="1"/>
  <c r="AP288" i="1" s="1"/>
  <c r="J260" i="1"/>
  <c r="L260" i="1" s="1"/>
  <c r="N260" i="1" s="1"/>
  <c r="P260" i="1" s="1"/>
  <c r="F260" i="1"/>
  <c r="L295" i="1"/>
  <c r="L294" i="1" s="1"/>
  <c r="J255" i="1" s="1"/>
  <c r="R13" i="1" s="1"/>
  <c r="L296" i="1"/>
  <c r="J322" i="1"/>
  <c r="BC215" i="1"/>
  <c r="I260" i="1"/>
  <c r="K260" i="1" s="1"/>
  <c r="M260" i="1" s="1"/>
  <c r="O260" i="1" s="1"/>
  <c r="E260" i="1"/>
  <c r="D260" i="1"/>
  <c r="AP311" i="1"/>
  <c r="AQ303" i="1"/>
  <c r="AQ304" i="1" s="1"/>
  <c r="AY297" i="1"/>
  <c r="AU294" i="1"/>
  <c r="AV294" i="1" s="1"/>
  <c r="AQ309" i="1"/>
  <c r="AM308" i="1"/>
  <c r="AR308" i="1" s="1"/>
  <c r="AV260" i="1"/>
  <c r="AX260" i="1" s="1"/>
  <c r="AZ260" i="1" s="1"/>
  <c r="BB260" i="1" s="1"/>
  <c r="AR260" i="1"/>
  <c r="BV215" i="1"/>
  <c r="AU260" i="1"/>
  <c r="AW260" i="1" s="1"/>
  <c r="AY260" i="1" s="1"/>
  <c r="BA260" i="1" s="1"/>
  <c r="AQ260" i="1"/>
  <c r="AP260" i="1"/>
  <c r="Q215" i="1"/>
  <c r="C311" i="1"/>
  <c r="F309" i="1"/>
  <c r="B308" i="1"/>
  <c r="G308" i="1" s="1"/>
  <c r="F303" i="1"/>
  <c r="F304" i="1" s="1"/>
  <c r="L302" i="1"/>
  <c r="A305" i="1"/>
  <c r="A306" i="1" s="1"/>
  <c r="N297" i="1"/>
  <c r="D287" i="1"/>
  <c r="D288" i="1" s="1"/>
  <c r="D286" i="1"/>
  <c r="J269" i="1"/>
  <c r="A266" i="1" s="1"/>
  <c r="I292" i="1"/>
  <c r="J324" i="1"/>
  <c r="I306" i="1"/>
  <c r="AX296" i="1"/>
  <c r="AV322" i="1"/>
  <c r="AW269" i="1"/>
  <c r="AN266" i="1" s="1"/>
  <c r="AU324" i="1"/>
  <c r="AU305" i="1"/>
  <c r="AV305" i="1" s="1"/>
  <c r="AX269" i="1"/>
  <c r="AO266" i="1" s="1"/>
  <c r="I323" i="1"/>
  <c r="I303" i="1"/>
  <c r="J303" i="1" s="1"/>
  <c r="AV324" i="1"/>
  <c r="AU306" i="1"/>
  <c r="A275" i="1"/>
  <c r="AM275" i="1"/>
  <c r="J323" i="1"/>
  <c r="S347" i="1"/>
  <c r="I304" i="1"/>
  <c r="J304" i="1" s="1"/>
  <c r="BE347" i="1"/>
  <c r="AV323" i="1"/>
  <c r="AU304" i="1"/>
  <c r="AV304" i="1" s="1"/>
  <c r="I324" i="1"/>
  <c r="I305" i="1"/>
  <c r="J305" i="1" s="1"/>
  <c r="K269" i="1"/>
  <c r="B266" i="1" s="1"/>
  <c r="J266" i="1" s="1"/>
  <c r="L266" i="1" s="1"/>
  <c r="N266" i="1" s="1"/>
  <c r="P266" i="1" s="1"/>
  <c r="AX295" i="1"/>
  <c r="AX294" i="1" s="1"/>
  <c r="AV255" i="1" s="1"/>
  <c r="V13" i="1" s="1"/>
  <c r="AU329" i="1"/>
  <c r="AV329" i="1" s="1"/>
  <c r="AJ394" i="1"/>
  <c r="AJ369" i="1"/>
  <c r="AU303" i="1"/>
  <c r="AV303" i="1" s="1"/>
  <c r="Q394" i="1"/>
  <c r="Q369" i="1"/>
  <c r="BC394" i="1"/>
  <c r="BC369" i="1"/>
  <c r="BV394" i="1"/>
  <c r="BV369" i="1"/>
  <c r="AJ462" i="1"/>
  <c r="AJ437" i="1"/>
  <c r="BV462" i="1"/>
  <c r="BV437" i="1"/>
  <c r="Q462" i="1"/>
  <c r="Q437" i="1"/>
  <c r="BC462" i="1"/>
  <c r="BC437" i="1"/>
  <c r="BC260" i="1" l="1"/>
  <c r="BF17" i="1"/>
  <c r="BN16" i="1"/>
  <c r="I261" i="1"/>
  <c r="BF9" i="1"/>
  <c r="J6" i="1"/>
  <c r="G5" i="1" s="1"/>
  <c r="H5" i="1" s="1"/>
  <c r="A6" i="1" s="1"/>
  <c r="B2" i="1"/>
  <c r="C2" i="1" s="1"/>
  <c r="D2" i="1" s="1"/>
  <c r="R1" i="1"/>
  <c r="S1" i="1" s="1"/>
  <c r="F53" i="1"/>
  <c r="AR53" i="1"/>
  <c r="AK1" i="1"/>
  <c r="AC2" i="1"/>
  <c r="J275" i="1"/>
  <c r="L275" i="1" s="1"/>
  <c r="N275" i="1" s="1"/>
  <c r="P275" i="1" s="1"/>
  <c r="AV275" i="1"/>
  <c r="AX275" i="1" s="1"/>
  <c r="AZ275" i="1" s="1"/>
  <c r="BB275" i="1" s="1"/>
  <c r="AY21" i="1"/>
  <c r="AZ21" i="1" s="1"/>
  <c r="BA21" i="1" s="1"/>
  <c r="BO20" i="1"/>
  <c r="BP20" i="1" s="1"/>
  <c r="AY17" i="1"/>
  <c r="AZ17" i="1" s="1"/>
  <c r="BA17" i="1" s="1"/>
  <c r="BO16" i="1"/>
  <c r="BP16" i="1" s="1"/>
  <c r="AY13" i="1"/>
  <c r="AZ13" i="1" s="1"/>
  <c r="BA13" i="1" s="1"/>
  <c r="BO12" i="1"/>
  <c r="BP12" i="1" s="1"/>
  <c r="AE21" i="1"/>
  <c r="AF21" i="1" s="1"/>
  <c r="AG21" i="1" s="1"/>
  <c r="AU20" i="1"/>
  <c r="AV20" i="1" s="1"/>
  <c r="AE17" i="1"/>
  <c r="AF17" i="1" s="1"/>
  <c r="AG17" i="1" s="1"/>
  <c r="AU16" i="1"/>
  <c r="AV16" i="1" s="1"/>
  <c r="AE13" i="1"/>
  <c r="AF13" i="1" s="1"/>
  <c r="AG13" i="1" s="1"/>
  <c r="AU12" i="1"/>
  <c r="AV12" i="1" s="1"/>
  <c r="AU8" i="1"/>
  <c r="AV8" i="1" s="1"/>
  <c r="AE9" i="1"/>
  <c r="AF9" i="1" s="1"/>
  <c r="AG9" i="1" s="1"/>
  <c r="AX329" i="1"/>
  <c r="AY329" i="1" s="1"/>
  <c r="AW329" i="1"/>
  <c r="AX304" i="1"/>
  <c r="AY304" i="1" s="1"/>
  <c r="AW304" i="1"/>
  <c r="I275" i="1"/>
  <c r="K275" i="1" s="1"/>
  <c r="M275" i="1" s="1"/>
  <c r="O275" i="1" s="1"/>
  <c r="E275" i="1"/>
  <c r="F276" i="1" s="1"/>
  <c r="D275" i="1"/>
  <c r="L303" i="1"/>
  <c r="M303" i="1" s="1"/>
  <c r="K303" i="1"/>
  <c r="AW305" i="1"/>
  <c r="AX305" i="1"/>
  <c r="AY305" i="1" s="1"/>
  <c r="AT255" i="1"/>
  <c r="T28" i="1" s="1"/>
  <c r="I266" i="1"/>
  <c r="K266" i="1" s="1"/>
  <c r="M266" i="1" s="1"/>
  <c r="O266" i="1" s="1"/>
  <c r="Q266" i="1" s="1"/>
  <c r="E266" i="1"/>
  <c r="D266" i="1"/>
  <c r="A307" i="1"/>
  <c r="AN261" i="1"/>
  <c r="AO261" i="1" s="1"/>
  <c r="AP261" i="1" s="1"/>
  <c r="BD260" i="1"/>
  <c r="BE260" i="1" s="1"/>
  <c r="J261" i="1"/>
  <c r="G260" i="1" s="1"/>
  <c r="L321" i="1"/>
  <c r="L320" i="1" s="1"/>
  <c r="L322" i="1"/>
  <c r="K294" i="1"/>
  <c r="I295" i="1"/>
  <c r="J295" i="1" s="1"/>
  <c r="BC21" i="1"/>
  <c r="BI21" i="1"/>
  <c r="BH21" i="1"/>
  <c r="BC17" i="1"/>
  <c r="BI17" i="1"/>
  <c r="BH17" i="1"/>
  <c r="BC13" i="1"/>
  <c r="BI13" i="1"/>
  <c r="BH13" i="1"/>
  <c r="AX83" i="1"/>
  <c r="AY83" i="1" s="1"/>
  <c r="AW83" i="1"/>
  <c r="L84" i="1"/>
  <c r="M84" i="1" s="1"/>
  <c r="J84" i="1"/>
  <c r="K84" i="1" s="1"/>
  <c r="AU44" i="1"/>
  <c r="AW44" i="1" s="1"/>
  <c r="AY44" i="1" s="1"/>
  <c r="BA44" i="1" s="1"/>
  <c r="AQ44" i="1"/>
  <c r="AP44" i="1"/>
  <c r="AP91" i="1"/>
  <c r="AP92" i="1" s="1"/>
  <c r="AR107" i="1"/>
  <c r="AR108" i="1" s="1"/>
  <c r="AX106" i="1"/>
  <c r="AZ101" i="1"/>
  <c r="AU96" i="1"/>
  <c r="BD128" i="1"/>
  <c r="AR113" i="1"/>
  <c r="AN112" i="1"/>
  <c r="AS112" i="1" s="1"/>
  <c r="AM109" i="1"/>
  <c r="AM110" i="1" s="1"/>
  <c r="AP90" i="1"/>
  <c r="AM17" i="1"/>
  <c r="AJ16" i="1" s="1"/>
  <c r="AK16" i="1" s="1"/>
  <c r="AO9" i="1"/>
  <c r="AN9" i="1"/>
  <c r="AI9" i="1"/>
  <c r="J44" i="1"/>
  <c r="L44" i="1" s="1"/>
  <c r="N44" i="1" s="1"/>
  <c r="P44" i="1" s="1"/>
  <c r="F44" i="1"/>
  <c r="I44" i="1"/>
  <c r="K44" i="1" s="1"/>
  <c r="M44" i="1" s="1"/>
  <c r="O44" i="1" s="1"/>
  <c r="E44" i="1"/>
  <c r="D44" i="1"/>
  <c r="H34" i="1"/>
  <c r="A29" i="1" s="1"/>
  <c r="F78" i="1"/>
  <c r="A109" i="1"/>
  <c r="A110" i="1" s="1"/>
  <c r="L106" i="1"/>
  <c r="I96" i="1"/>
  <c r="N101" i="1"/>
  <c r="D91" i="1"/>
  <c r="D92" i="1" s="1"/>
  <c r="D90" i="1"/>
  <c r="R128" i="1"/>
  <c r="F113" i="1"/>
  <c r="B112" i="1"/>
  <c r="G112" i="1" s="1"/>
  <c r="F107" i="1"/>
  <c r="F108" i="1" s="1"/>
  <c r="AL9" i="1"/>
  <c r="AR39" i="1"/>
  <c r="AX39" i="1"/>
  <c r="AW39" i="1"/>
  <c r="K82" i="1"/>
  <c r="L82" i="1"/>
  <c r="M82" i="1" s="1"/>
  <c r="BG21" i="1"/>
  <c r="BD20" i="1" s="1"/>
  <c r="BE20" i="1" s="1"/>
  <c r="BG9" i="1"/>
  <c r="BD8" i="1" s="1"/>
  <c r="BE8" i="1" s="1"/>
  <c r="AF6" i="1"/>
  <c r="AE6" i="1"/>
  <c r="Z6" i="1"/>
  <c r="J2" i="1"/>
  <c r="G1" i="1" s="1"/>
  <c r="H1" i="1" s="1"/>
  <c r="AX99" i="1"/>
  <c r="AX98" i="1" s="1"/>
  <c r="AX100" i="1"/>
  <c r="AX84" i="1"/>
  <c r="AY84" i="1" s="1"/>
  <c r="AV84" i="1"/>
  <c r="AW84" i="1" s="1"/>
  <c r="F39" i="1"/>
  <c r="L39" i="1"/>
  <c r="K39" i="1"/>
  <c r="K81" i="1"/>
  <c r="L81" i="1"/>
  <c r="M81" i="1" s="1"/>
  <c r="I39" i="1"/>
  <c r="I2" i="1"/>
  <c r="AX303" i="1"/>
  <c r="AY303" i="1" s="1"/>
  <c r="AW303" i="1"/>
  <c r="AZ303" i="1" s="1"/>
  <c r="AU330" i="1"/>
  <c r="AV330" i="1" s="1"/>
  <c r="AX261" i="1"/>
  <c r="AW261" i="1"/>
  <c r="AR261" i="1"/>
  <c r="H255" i="1"/>
  <c r="P28" i="1" s="1"/>
  <c r="AU266" i="1"/>
  <c r="AW266" i="1" s="1"/>
  <c r="AY266" i="1" s="1"/>
  <c r="BA266" i="1" s="1"/>
  <c r="AQ266" i="1"/>
  <c r="AP266" i="1"/>
  <c r="BD350" i="1"/>
  <c r="AR335" i="1"/>
  <c r="AN334" i="1"/>
  <c r="AS334" i="1" s="1"/>
  <c r="AM331" i="1"/>
  <c r="AM332" i="1" s="1"/>
  <c r="AP312" i="1"/>
  <c r="AP313" i="1"/>
  <c r="AP314" i="1" s="1"/>
  <c r="AR329" i="1"/>
  <c r="AR330" i="1" s="1"/>
  <c r="AX328" i="1"/>
  <c r="AZ323" i="1"/>
  <c r="AU318" i="1"/>
  <c r="AU53" i="1"/>
  <c r="AW53" i="1" s="1"/>
  <c r="AY53" i="1" s="1"/>
  <c r="BA53" i="1" s="1"/>
  <c r="BC53" i="1" s="1"/>
  <c r="AQ53" i="1"/>
  <c r="AP53" i="1"/>
  <c r="AU109" i="1"/>
  <c r="AV109" i="1" s="1"/>
  <c r="AR78" i="1"/>
  <c r="AT34" i="1"/>
  <c r="E29" i="1" s="1"/>
  <c r="AM85" i="1"/>
  <c r="AP69" i="1"/>
  <c r="AP73" i="1" s="1"/>
  <c r="AV34" i="1"/>
  <c r="G14" i="1" s="1"/>
  <c r="E113" i="1"/>
  <c r="A112" i="1"/>
  <c r="F112" i="1" s="1"/>
  <c r="E107" i="1"/>
  <c r="E108" i="1" s="1"/>
  <c r="I98" i="1"/>
  <c r="J98" i="1" s="1"/>
  <c r="S128" i="1"/>
  <c r="M101" i="1"/>
  <c r="K2" i="1"/>
  <c r="L2" i="1"/>
  <c r="F2" i="1"/>
  <c r="I109" i="1"/>
  <c r="J109" i="1" s="1"/>
  <c r="AX82" i="1"/>
  <c r="AY82" i="1" s="1"/>
  <c r="AW82" i="1"/>
  <c r="K70" i="1"/>
  <c r="K71" i="1" s="1"/>
  <c r="J70" i="1"/>
  <c r="I71" i="1" s="1"/>
  <c r="J71" i="1" s="1"/>
  <c r="J34" i="1"/>
  <c r="C14" i="1" s="1"/>
  <c r="D69" i="1"/>
  <c r="D73" i="1" s="1"/>
  <c r="AX81" i="1"/>
  <c r="AY81" i="1" s="1"/>
  <c r="AW81" i="1"/>
  <c r="AV39" i="1"/>
  <c r="AS38" i="1" s="1"/>
  <c r="AM21" i="1"/>
  <c r="AJ20" i="1" s="1"/>
  <c r="AK20" i="1" s="1"/>
  <c r="AM9" i="1"/>
  <c r="AJ8" i="1" s="1"/>
  <c r="AK8" i="1" s="1"/>
  <c r="AU110" i="1"/>
  <c r="I107" i="1"/>
  <c r="J107" i="1" s="1"/>
  <c r="AU73" i="1"/>
  <c r="AV73" i="1" s="1"/>
  <c r="AW72" i="1"/>
  <c r="AQ113" i="1"/>
  <c r="AM112" i="1"/>
  <c r="AR112" i="1" s="1"/>
  <c r="BE128" i="1"/>
  <c r="AQ107" i="1"/>
  <c r="AQ108" i="1" s="1"/>
  <c r="AY101" i="1"/>
  <c r="AU98" i="1"/>
  <c r="AV98" i="1" s="1"/>
  <c r="Q38" i="1"/>
  <c r="Q5" i="1"/>
  <c r="AC6" i="1"/>
  <c r="L305" i="1"/>
  <c r="M305" i="1" s="1"/>
  <c r="K305" i="1"/>
  <c r="I330" i="1"/>
  <c r="J330" i="1" s="1"/>
  <c r="I329" i="1"/>
  <c r="J329" i="1" s="1"/>
  <c r="AU331" i="1"/>
  <c r="AV331" i="1" s="1"/>
  <c r="F300" i="1"/>
  <c r="H256" i="1"/>
  <c r="P29" i="1" s="1"/>
  <c r="I331" i="1"/>
  <c r="J331" i="1" s="1"/>
  <c r="AX306" i="1"/>
  <c r="AY306" i="1" s="1"/>
  <c r="AV306" i="1"/>
  <c r="AW306" i="1" s="1"/>
  <c r="AZ306" i="1" s="1"/>
  <c r="BA306" i="1" s="1"/>
  <c r="BB306" i="1" s="1"/>
  <c r="BC306" i="1" s="1"/>
  <c r="AV266" i="1"/>
  <c r="AX266" i="1" s="1"/>
  <c r="AZ266" i="1" s="1"/>
  <c r="BB266" i="1" s="1"/>
  <c r="AR266" i="1"/>
  <c r="J306" i="1"/>
  <c r="K306" i="1" s="1"/>
  <c r="N306" i="1" s="1"/>
  <c r="O306" i="1" s="1"/>
  <c r="P306" i="1" s="1"/>
  <c r="Q306" i="1" s="1"/>
  <c r="L306" i="1"/>
  <c r="M306" i="1" s="1"/>
  <c r="D291" i="1"/>
  <c r="D295" i="1" s="1"/>
  <c r="J256" i="1"/>
  <c r="R14" i="1" s="1"/>
  <c r="F266" i="1"/>
  <c r="AV261" i="1"/>
  <c r="AS260" i="1" s="1"/>
  <c r="Q260" i="1"/>
  <c r="AP291" i="1"/>
  <c r="AP295" i="1" s="1"/>
  <c r="AV256" i="1"/>
  <c r="V14" i="1" s="1"/>
  <c r="AM307" i="1"/>
  <c r="I53" i="1"/>
  <c r="K53" i="1" s="1"/>
  <c r="M53" i="1" s="1"/>
  <c r="O53" i="1" s="1"/>
  <c r="Q53" i="1" s="1"/>
  <c r="E53" i="1"/>
  <c r="D53" i="1"/>
  <c r="AI21" i="1"/>
  <c r="AO21" i="1"/>
  <c r="AN21" i="1"/>
  <c r="AI17" i="1"/>
  <c r="AO17" i="1"/>
  <c r="AN17" i="1"/>
  <c r="AI13" i="1"/>
  <c r="AO13" i="1"/>
  <c r="AN13" i="1"/>
  <c r="AV44" i="1"/>
  <c r="AX44" i="1" s="1"/>
  <c r="AZ44" i="1" s="1"/>
  <c r="BB44" i="1" s="1"/>
  <c r="AR44" i="1"/>
  <c r="I110" i="1"/>
  <c r="AW70" i="1"/>
  <c r="AW71" i="1" s="1"/>
  <c r="AV70" i="1"/>
  <c r="AU71" i="1" s="1"/>
  <c r="AV71" i="1" s="1"/>
  <c r="K72" i="1"/>
  <c r="I73" i="1"/>
  <c r="J73" i="1" s="1"/>
  <c r="BH9" i="1"/>
  <c r="BI9" i="1"/>
  <c r="BC9" i="1"/>
  <c r="AU108" i="1"/>
  <c r="AV108" i="1" s="1"/>
  <c r="AU107" i="1"/>
  <c r="AV107" i="1" s="1"/>
  <c r="AU39" i="1"/>
  <c r="BG13" i="1"/>
  <c r="BD12" i="1" s="1"/>
  <c r="BE12" i="1" s="1"/>
  <c r="L6" i="1"/>
  <c r="K6" i="1"/>
  <c r="F6" i="1"/>
  <c r="AT33" i="1"/>
  <c r="E28" i="1" s="1"/>
  <c r="L100" i="1"/>
  <c r="L99" i="1"/>
  <c r="L98" i="1" s="1"/>
  <c r="I6" i="1"/>
  <c r="AK5" i="1"/>
  <c r="L304" i="1"/>
  <c r="M304" i="1" s="1"/>
  <c r="K304" i="1"/>
  <c r="AU275" i="1"/>
  <c r="AW275" i="1" s="1"/>
  <c r="AY275" i="1" s="1"/>
  <c r="BA275" i="1" s="1"/>
  <c r="AQ275" i="1"/>
  <c r="AR276" i="1" s="1"/>
  <c r="AP275" i="1"/>
  <c r="AU332" i="1"/>
  <c r="AX322" i="1"/>
  <c r="AX321" i="1"/>
  <c r="AX320" i="1" s="1"/>
  <c r="I332" i="1"/>
  <c r="K292" i="1"/>
  <c r="K293" i="1" s="1"/>
  <c r="J292" i="1"/>
  <c r="I293" i="1" s="1"/>
  <c r="J293" i="1" s="1"/>
  <c r="R350" i="1"/>
  <c r="F335" i="1"/>
  <c r="B334" i="1"/>
  <c r="G334" i="1" s="1"/>
  <c r="F329" i="1"/>
  <c r="F330" i="1" s="1"/>
  <c r="A331" i="1"/>
  <c r="A332" i="1" s="1"/>
  <c r="L328" i="1"/>
  <c r="I318" i="1"/>
  <c r="N323" i="1"/>
  <c r="D313" i="1"/>
  <c r="D314" i="1" s="1"/>
  <c r="D312" i="1"/>
  <c r="AU261" i="1"/>
  <c r="AU295" i="1"/>
  <c r="AV295" i="1" s="1"/>
  <c r="AW294" i="1"/>
  <c r="BE350" i="1"/>
  <c r="AU320" i="1"/>
  <c r="AV320" i="1" s="1"/>
  <c r="AQ335" i="1"/>
  <c r="AM334" i="1"/>
  <c r="AR334" i="1" s="1"/>
  <c r="AQ329" i="1"/>
  <c r="AQ330" i="1" s="1"/>
  <c r="AY323" i="1"/>
  <c r="L261" i="1"/>
  <c r="K261" i="1"/>
  <c r="F261" i="1"/>
  <c r="AR300" i="1"/>
  <c r="AT256" i="1"/>
  <c r="T29" i="1" s="1"/>
  <c r="AW292" i="1"/>
  <c r="AW293" i="1" s="1"/>
  <c r="AV292" i="1"/>
  <c r="AU293" i="1" s="1"/>
  <c r="AV293" i="1" s="1"/>
  <c r="S350" i="1"/>
  <c r="E335" i="1"/>
  <c r="A334" i="1"/>
  <c r="F334" i="1" s="1"/>
  <c r="E329" i="1"/>
  <c r="E330" i="1" s="1"/>
  <c r="I320" i="1"/>
  <c r="J320" i="1" s="1"/>
  <c r="M323" i="1"/>
  <c r="BG17" i="1"/>
  <c r="BD16" i="1" s="1"/>
  <c r="BE16" i="1" s="1"/>
  <c r="K83" i="1"/>
  <c r="L83" i="1"/>
  <c r="M83" i="1" s="1"/>
  <c r="A85" i="1"/>
  <c r="I108" i="1"/>
  <c r="J108" i="1" s="1"/>
  <c r="BC38" i="1"/>
  <c r="AM13" i="1"/>
  <c r="AJ12" i="1" s="1"/>
  <c r="AK12" i="1" s="1"/>
  <c r="U2" i="1"/>
  <c r="H33" i="1"/>
  <c r="A28" i="1" s="1"/>
  <c r="J39" i="1"/>
  <c r="G38" i="1" s="1"/>
  <c r="V2" i="1"/>
  <c r="W2" i="1" s="1"/>
  <c r="X2" i="1" s="1"/>
  <c r="AL1" i="1"/>
  <c r="AM1" i="1" s="1"/>
  <c r="AD6" i="1"/>
  <c r="AA5" i="1" s="1"/>
  <c r="AB5" i="1" s="1"/>
  <c r="AE2" i="1"/>
  <c r="AF2" i="1"/>
  <c r="Z2" i="1"/>
  <c r="AA2" i="1" s="1"/>
  <c r="BN8" i="1"/>
  <c r="F54" i="1" l="1"/>
  <c r="P82" i="1"/>
  <c r="Q82" i="1" s="1"/>
  <c r="R81" i="1" s="1"/>
  <c r="R82" i="1" s="1"/>
  <c r="N83" i="1"/>
  <c r="O83" i="1" s="1"/>
  <c r="P83" i="1" s="1"/>
  <c r="Q83" i="1" s="1"/>
  <c r="I45" i="1"/>
  <c r="Q44" i="1"/>
  <c r="B45" i="1" s="1"/>
  <c r="C45" i="1" s="1"/>
  <c r="D45" i="1" s="1"/>
  <c r="N303" i="1"/>
  <c r="BC275" i="1"/>
  <c r="BD275" i="1" s="1"/>
  <c r="BE275" i="1" s="1"/>
  <c r="Q275" i="1"/>
  <c r="R275" i="1" s="1"/>
  <c r="S275" i="1" s="1"/>
  <c r="J54" i="1"/>
  <c r="G53" i="1" s="1"/>
  <c r="H53" i="1" s="1"/>
  <c r="K54" i="1"/>
  <c r="K276" i="1"/>
  <c r="L54" i="1"/>
  <c r="AX54" i="1"/>
  <c r="J276" i="1"/>
  <c r="G275" i="1" s="1"/>
  <c r="H275" i="1" s="1"/>
  <c r="AW276" i="1"/>
  <c r="AW54" i="1"/>
  <c r="AR54" i="1"/>
  <c r="AV54" i="1"/>
  <c r="AS53" i="1" s="1"/>
  <c r="AT53" i="1" s="1"/>
  <c r="AV276" i="1"/>
  <c r="AS275" i="1" s="1"/>
  <c r="AT275" i="1" s="1"/>
  <c r="AN1" i="1"/>
  <c r="AN2" i="1" s="1"/>
  <c r="Z3" i="1"/>
  <c r="AU300" i="1"/>
  <c r="AS285" i="1" s="1"/>
  <c r="L332" i="1"/>
  <c r="M332" i="1" s="1"/>
  <c r="J332" i="1"/>
  <c r="K332" i="1" s="1"/>
  <c r="N332" i="1" s="1"/>
  <c r="O332" i="1" s="1"/>
  <c r="P332" i="1" s="1"/>
  <c r="Q332" i="1" s="1"/>
  <c r="AV332" i="1"/>
  <c r="AW332" i="1" s="1"/>
  <c r="AZ332" i="1" s="1"/>
  <c r="BA332" i="1" s="1"/>
  <c r="BB332" i="1" s="1"/>
  <c r="BC332" i="1" s="1"/>
  <c r="AX332" i="1"/>
  <c r="AY332" i="1" s="1"/>
  <c r="AW108" i="1"/>
  <c r="AX108" i="1"/>
  <c r="AY108" i="1" s="1"/>
  <c r="J110" i="1"/>
  <c r="K110" i="1" s="1"/>
  <c r="L110" i="1"/>
  <c r="M110" i="1" s="1"/>
  <c r="R53" i="1"/>
  <c r="S53" i="1" s="1"/>
  <c r="B54" i="1"/>
  <c r="C54" i="1" s="1"/>
  <c r="D54" i="1" s="1"/>
  <c r="L267" i="1"/>
  <c r="K267" i="1"/>
  <c r="F267" i="1"/>
  <c r="L329" i="1"/>
  <c r="M329" i="1" s="1"/>
  <c r="K329" i="1"/>
  <c r="AU99" i="1"/>
  <c r="AV99" i="1" s="1"/>
  <c r="AW98" i="1"/>
  <c r="AV110" i="1"/>
  <c r="AW110" i="1" s="1"/>
  <c r="AZ110" i="1" s="1"/>
  <c r="BA110" i="1" s="1"/>
  <c r="BB110" i="1" s="1"/>
  <c r="BC110" i="1" s="1"/>
  <c r="AX110" i="1"/>
  <c r="AY110" i="1" s="1"/>
  <c r="AT38" i="1"/>
  <c r="AS81" i="1"/>
  <c r="AX109" i="1"/>
  <c r="AY109" i="1" s="1"/>
  <c r="AW109" i="1"/>
  <c r="BD53" i="1"/>
  <c r="BE53" i="1" s="1"/>
  <c r="AN54" i="1"/>
  <c r="AO54" i="1" s="1"/>
  <c r="AP54" i="1" s="1"/>
  <c r="AR326" i="1"/>
  <c r="BC266" i="1"/>
  <c r="AZ304" i="1"/>
  <c r="BA304" i="1" s="1"/>
  <c r="BA303" i="1" s="1"/>
  <c r="BB303" i="1" s="1"/>
  <c r="BC303" i="1" s="1"/>
  <c r="AQ285" i="1" s="1"/>
  <c r="AD17" i="1"/>
  <c r="AJ17" i="1"/>
  <c r="AV96" i="1"/>
  <c r="AU97" i="1" s="1"/>
  <c r="AV97" i="1" s="1"/>
  <c r="AW96" i="1"/>
  <c r="AW97" i="1" s="1"/>
  <c r="AP95" i="1"/>
  <c r="AP99" i="1" s="1"/>
  <c r="BC44" i="1"/>
  <c r="R266" i="1"/>
  <c r="S266" i="1" s="1"/>
  <c r="B267" i="1"/>
  <c r="C267" i="1" s="1"/>
  <c r="D267" i="1" s="1"/>
  <c r="N304" i="1"/>
  <c r="O304" i="1" s="1"/>
  <c r="O303" i="1" s="1"/>
  <c r="P303" i="1" s="1"/>
  <c r="Q303" i="1" s="1"/>
  <c r="E285" i="1" s="1"/>
  <c r="H38" i="1"/>
  <c r="AN39" i="1"/>
  <c r="AO39" i="1" s="1"/>
  <c r="AP39" i="1" s="1"/>
  <c r="BD38" i="1"/>
  <c r="BE38" i="1" s="1"/>
  <c r="G81" i="1"/>
  <c r="AX13" i="1"/>
  <c r="BD13" i="1"/>
  <c r="AY9" i="1"/>
  <c r="AZ9" i="1" s="1"/>
  <c r="BA9" i="1" s="1"/>
  <c r="BO8" i="1"/>
  <c r="BP8" i="1" s="1"/>
  <c r="U6" i="1"/>
  <c r="AA3" i="1"/>
  <c r="AX17" i="1"/>
  <c r="BD17" i="1"/>
  <c r="AU321" i="1"/>
  <c r="AV321" i="1" s="1"/>
  <c r="AW320" i="1"/>
  <c r="A333" i="1"/>
  <c r="P304" i="1"/>
  <c r="Q304" i="1" s="1"/>
  <c r="R303" i="1" s="1"/>
  <c r="R304" i="1" s="1"/>
  <c r="AS303" i="1"/>
  <c r="AZ81" i="1"/>
  <c r="N81" i="1"/>
  <c r="AZ84" i="1"/>
  <c r="BA84" i="1" s="1"/>
  <c r="BB84" i="1" s="1"/>
  <c r="BC84" i="1" s="1"/>
  <c r="AU78" i="1" s="1"/>
  <c r="AS63" i="1" s="1"/>
  <c r="G2" i="1"/>
  <c r="A2" i="1"/>
  <c r="BD9" i="1"/>
  <c r="AX9" i="1"/>
  <c r="A111" i="1"/>
  <c r="R44" i="1"/>
  <c r="S44" i="1" s="1"/>
  <c r="AR104" i="1"/>
  <c r="N84" i="1"/>
  <c r="O84" i="1" s="1"/>
  <c r="P84" i="1" s="1"/>
  <c r="Q84" i="1" s="1"/>
  <c r="I78" i="1" s="1"/>
  <c r="G63" i="1" s="1"/>
  <c r="BB304" i="1"/>
  <c r="BC304" i="1" s="1"/>
  <c r="BD303" i="1" s="1"/>
  <c r="BD304" i="1" s="1"/>
  <c r="F326" i="1"/>
  <c r="B261" i="1"/>
  <c r="C261" i="1" s="1"/>
  <c r="D261" i="1" s="1"/>
  <c r="R260" i="1"/>
  <c r="S260" i="1" s="1"/>
  <c r="AX267" i="1"/>
  <c r="AW267" i="1"/>
  <c r="AR267" i="1"/>
  <c r="L331" i="1"/>
  <c r="M331" i="1" s="1"/>
  <c r="K331" i="1"/>
  <c r="AX331" i="1"/>
  <c r="AY331" i="1" s="1"/>
  <c r="AW331" i="1"/>
  <c r="L330" i="1"/>
  <c r="M330" i="1" s="1"/>
  <c r="K330" i="1"/>
  <c r="B6" i="1"/>
  <c r="C6" i="1" s="1"/>
  <c r="D6" i="1" s="1"/>
  <c r="R5" i="1"/>
  <c r="S5" i="1" s="1"/>
  <c r="AJ9" i="1"/>
  <c r="AD9" i="1"/>
  <c r="K73" i="1"/>
  <c r="F63" i="1" s="1"/>
  <c r="L109" i="1"/>
  <c r="M109" i="1" s="1"/>
  <c r="K109" i="1"/>
  <c r="I99" i="1"/>
  <c r="J99" i="1" s="1"/>
  <c r="K98" i="1"/>
  <c r="AW318" i="1"/>
  <c r="AW319" i="1" s="1"/>
  <c r="AV318" i="1"/>
  <c r="AU319" i="1" s="1"/>
  <c r="AV319" i="1" s="1"/>
  <c r="AP317" i="1"/>
  <c r="AP321" i="1" s="1"/>
  <c r="AM333" i="1"/>
  <c r="AV267" i="1"/>
  <c r="AS266" i="1" s="1"/>
  <c r="AX21" i="1"/>
  <c r="BD21" i="1"/>
  <c r="F104" i="1"/>
  <c r="K96" i="1"/>
  <c r="K97" i="1" s="1"/>
  <c r="J96" i="1"/>
  <c r="I97" i="1" s="1"/>
  <c r="J97" i="1" s="1"/>
  <c r="L45" i="1"/>
  <c r="K45" i="1"/>
  <c r="F45" i="1"/>
  <c r="AV45" i="1"/>
  <c r="AS44" i="1" s="1"/>
  <c r="I300" i="1"/>
  <c r="G285" i="1" s="1"/>
  <c r="H260" i="1"/>
  <c r="J267" i="1"/>
  <c r="G266" i="1" s="1"/>
  <c r="L108" i="1"/>
  <c r="M108" i="1" s="1"/>
  <c r="K108" i="1"/>
  <c r="AW295" i="1"/>
  <c r="J318" i="1"/>
  <c r="I319" i="1" s="1"/>
  <c r="J319" i="1" s="1"/>
  <c r="K318" i="1"/>
  <c r="K319" i="1" s="1"/>
  <c r="AD13" i="1"/>
  <c r="AJ13" i="1"/>
  <c r="I321" i="1"/>
  <c r="J321" i="1" s="1"/>
  <c r="K320" i="1"/>
  <c r="AX276" i="1"/>
  <c r="D317" i="1"/>
  <c r="D321" i="1" s="1"/>
  <c r="K295" i="1"/>
  <c r="F285" i="1" s="1"/>
  <c r="AU276" i="1"/>
  <c r="V6" i="1"/>
  <c r="W6" i="1" s="1"/>
  <c r="X6" i="1" s="1"/>
  <c r="AL5" i="1"/>
  <c r="AM5" i="1" s="1"/>
  <c r="AW107" i="1"/>
  <c r="AX107" i="1"/>
  <c r="AY107" i="1" s="1"/>
  <c r="AW73" i="1"/>
  <c r="AR45" i="1"/>
  <c r="AX45" i="1"/>
  <c r="AW45" i="1"/>
  <c r="I54" i="1"/>
  <c r="AT260" i="1"/>
  <c r="N305" i="1"/>
  <c r="O305" i="1" s="1"/>
  <c r="P305" i="1" s="1"/>
  <c r="Q305" i="1" s="1"/>
  <c r="B39" i="1"/>
  <c r="C39" i="1" s="1"/>
  <c r="D39" i="1" s="1"/>
  <c r="R38" i="1"/>
  <c r="S38" i="1" s="1"/>
  <c r="L107" i="1"/>
  <c r="M107" i="1" s="1"/>
  <c r="K107" i="1"/>
  <c r="AD21" i="1"/>
  <c r="AJ21" i="1"/>
  <c r="BB82" i="1"/>
  <c r="BC82" i="1" s="1"/>
  <c r="BD81" i="1" s="1"/>
  <c r="BD82" i="1" s="1"/>
  <c r="AU54" i="1"/>
  <c r="AU267" i="1"/>
  <c r="AX330" i="1"/>
  <c r="AY330" i="1" s="1"/>
  <c r="AW330" i="1"/>
  <c r="D95" i="1"/>
  <c r="D99" i="1" s="1"/>
  <c r="J45" i="1"/>
  <c r="G44" i="1" s="1"/>
  <c r="AM111" i="1"/>
  <c r="AU45" i="1"/>
  <c r="AZ83" i="1"/>
  <c r="BA83" i="1" s="1"/>
  <c r="BB83" i="1" s="1"/>
  <c r="BC83" i="1" s="1"/>
  <c r="G303" i="1"/>
  <c r="I267" i="1"/>
  <c r="L276" i="1"/>
  <c r="AZ305" i="1"/>
  <c r="BA305" i="1" s="1"/>
  <c r="BB305" i="1" s="1"/>
  <c r="BC305" i="1" s="1"/>
  <c r="I276" i="1"/>
  <c r="AZ329" i="1"/>
  <c r="BD10" i="1" l="1"/>
  <c r="AR63" i="1"/>
  <c r="AZ107" i="1"/>
  <c r="AZ109" i="1"/>
  <c r="BA109" i="1" s="1"/>
  <c r="BB109" i="1" s="1"/>
  <c r="BC109" i="1" s="1"/>
  <c r="N107" i="1"/>
  <c r="AB2" i="1"/>
  <c r="V4" i="1" s="1"/>
  <c r="AJ18" i="1"/>
  <c r="AR285" i="1"/>
  <c r="AR287" i="1" s="1"/>
  <c r="AR288" i="1" s="1"/>
  <c r="AN276" i="1"/>
  <c r="AO276" i="1" s="1"/>
  <c r="AP276" i="1" s="1"/>
  <c r="B276" i="1"/>
  <c r="C276" i="1" s="1"/>
  <c r="D276" i="1" s="1"/>
  <c r="AP309" i="1"/>
  <c r="AP303" i="1"/>
  <c r="AP304" i="1" s="1"/>
  <c r="G89" i="1"/>
  <c r="B87" i="1"/>
  <c r="B81" i="1"/>
  <c r="B82" i="1" s="1"/>
  <c r="D309" i="1"/>
  <c r="D303" i="1"/>
  <c r="D304" i="1" s="1"/>
  <c r="F287" i="1"/>
  <c r="F288" i="1" s="1"/>
  <c r="F286" i="1"/>
  <c r="H44" i="1"/>
  <c r="AZ108" i="1"/>
  <c r="BA108" i="1" s="1"/>
  <c r="BA107" i="1" s="1"/>
  <c r="BB107" i="1" s="1"/>
  <c r="BC107" i="1" s="1"/>
  <c r="AQ89" i="1" s="1"/>
  <c r="AI10" i="1"/>
  <c r="AW8" i="1"/>
  <c r="AW9" i="1" s="1"/>
  <c r="G54" i="1"/>
  <c r="T1" i="1"/>
  <c r="T2" i="1" s="1"/>
  <c r="F3" i="1"/>
  <c r="AU74" i="1"/>
  <c r="AU77" i="1" s="1"/>
  <c r="AT63" i="1" s="1"/>
  <c r="G329" i="1"/>
  <c r="BQ16" i="1"/>
  <c r="BQ17" i="1" s="1"/>
  <c r="BC18" i="1"/>
  <c r="G6" i="1"/>
  <c r="AS107" i="1"/>
  <c r="BB330" i="1"/>
  <c r="BC330" i="1" s="1"/>
  <c r="BD329" i="1" s="1"/>
  <c r="BD330" i="1" s="1"/>
  <c r="AJ22" i="1"/>
  <c r="I326" i="1"/>
  <c r="AJ14" i="1"/>
  <c r="AO309" i="1"/>
  <c r="AO303" i="1"/>
  <c r="AO304" i="1" s="1"/>
  <c r="AN307" i="1" s="1"/>
  <c r="G311" i="1"/>
  <c r="B309" i="1"/>
  <c r="B303" i="1"/>
  <c r="B304" i="1" s="1"/>
  <c r="AW321" i="1"/>
  <c r="P330" i="1"/>
  <c r="Q330" i="1" s="1"/>
  <c r="R329" i="1" s="1"/>
  <c r="R330" i="1" s="1"/>
  <c r="N331" i="1"/>
  <c r="O331" i="1" s="1"/>
  <c r="P331" i="1" s="1"/>
  <c r="Q331" i="1" s="1"/>
  <c r="G107" i="1"/>
  <c r="BC10" i="1"/>
  <c r="BQ8" i="1"/>
  <c r="BQ9" i="1" s="1"/>
  <c r="G39" i="1"/>
  <c r="AI18" i="1"/>
  <c r="AW16" i="1"/>
  <c r="AW17" i="1" s="1"/>
  <c r="BD266" i="1"/>
  <c r="BE266" i="1" s="1"/>
  <c r="AN267" i="1"/>
  <c r="AO267" i="1" s="1"/>
  <c r="AP267" i="1" s="1"/>
  <c r="N110" i="1"/>
  <c r="O110" i="1" s="1"/>
  <c r="P110" i="1" s="1"/>
  <c r="Q110" i="1" s="1"/>
  <c r="I104" i="1" s="1"/>
  <c r="BB108" i="1"/>
  <c r="BC108" i="1" s="1"/>
  <c r="BD107" i="1" s="1"/>
  <c r="BD108" i="1" s="1"/>
  <c r="Y3" i="1"/>
  <c r="AB3" i="1" s="1"/>
  <c r="BA330" i="1"/>
  <c r="BA329" i="1" s="1"/>
  <c r="BB329" i="1" s="1"/>
  <c r="BC329" i="1" s="1"/>
  <c r="AQ311" i="1" s="1"/>
  <c r="AZ330" i="1"/>
  <c r="AI22" i="1"/>
  <c r="AW20" i="1"/>
  <c r="AW21" i="1" s="1"/>
  <c r="N108" i="1"/>
  <c r="O108" i="1" s="1"/>
  <c r="O107" i="1" s="1"/>
  <c r="P107" i="1" s="1"/>
  <c r="Q107" i="1" s="1"/>
  <c r="E89" i="1" s="1"/>
  <c r="AO87" i="1"/>
  <c r="AO81" i="1"/>
  <c r="AO82" i="1" s="1"/>
  <c r="AN85" i="1" s="1"/>
  <c r="C309" i="1"/>
  <c r="C303" i="1"/>
  <c r="C304" i="1" s="1"/>
  <c r="B307" i="1" s="1"/>
  <c r="AI14" i="1"/>
  <c r="AW12" i="1"/>
  <c r="AW13" i="1" s="1"/>
  <c r="K321" i="1"/>
  <c r="F311" i="1" s="1"/>
  <c r="P108" i="1"/>
  <c r="Q108" i="1" s="1"/>
  <c r="R107" i="1" s="1"/>
  <c r="R108" i="1" s="1"/>
  <c r="H266" i="1"/>
  <c r="I296" i="1"/>
  <c r="I299" i="1" s="1"/>
  <c r="H285" i="1" s="1"/>
  <c r="H286" i="1" s="1"/>
  <c r="H258" i="1" s="1"/>
  <c r="K99" i="1"/>
  <c r="BD22" i="1"/>
  <c r="AS329" i="1"/>
  <c r="AS54" i="1"/>
  <c r="I100" i="1"/>
  <c r="C87" i="1"/>
  <c r="C81" i="1"/>
  <c r="C82" i="1" s="1"/>
  <c r="B85" i="1" s="1"/>
  <c r="AZ82" i="1"/>
  <c r="BA82" i="1" s="1"/>
  <c r="BA81" i="1" s="1"/>
  <c r="BB81" i="1" s="1"/>
  <c r="BC81" i="1" s="1"/>
  <c r="AQ63" i="1" s="1"/>
  <c r="AA6" i="1"/>
  <c r="BD14" i="1"/>
  <c r="BD44" i="1"/>
  <c r="BE44" i="1" s="1"/>
  <c r="AN45" i="1"/>
  <c r="AO45" i="1" s="1"/>
  <c r="AP45" i="1" s="1"/>
  <c r="AS39" i="1"/>
  <c r="AU104" i="1"/>
  <c r="AN303" i="1"/>
  <c r="AN304" i="1" s="1"/>
  <c r="AS311" i="1"/>
  <c r="AN309" i="1"/>
  <c r="AS261" i="1"/>
  <c r="G261" i="1"/>
  <c r="AT44" i="1"/>
  <c r="BQ20" i="1"/>
  <c r="BQ21" i="1" s="1"/>
  <c r="BC22" i="1"/>
  <c r="AT266" i="1"/>
  <c r="N109" i="1"/>
  <c r="O109" i="1" s="1"/>
  <c r="P109" i="1" s="1"/>
  <c r="Q109" i="1" s="1"/>
  <c r="AJ10" i="1"/>
  <c r="AZ331" i="1"/>
  <c r="BA331" i="1" s="1"/>
  <c r="BB331" i="1" s="1"/>
  <c r="BC331" i="1" s="1"/>
  <c r="G3" i="1"/>
  <c r="N82" i="1"/>
  <c r="O82" i="1" s="1"/>
  <c r="O81" i="1" s="1"/>
  <c r="P81" i="1" s="1"/>
  <c r="Q81" i="1" s="1"/>
  <c r="E63" i="1" s="1"/>
  <c r="AT65" i="1"/>
  <c r="AT66" i="1" s="1"/>
  <c r="AT64" i="1"/>
  <c r="AT36" i="1" s="1"/>
  <c r="AS89" i="1"/>
  <c r="AN87" i="1"/>
  <c r="AN81" i="1"/>
  <c r="AN82" i="1" s="1"/>
  <c r="AU322" i="1"/>
  <c r="AU326" i="1"/>
  <c r="BD18" i="1"/>
  <c r="BQ12" i="1"/>
  <c r="BQ13" i="1" s="1"/>
  <c r="BC14" i="1"/>
  <c r="AW99" i="1"/>
  <c r="AR89" i="1" s="1"/>
  <c r="N329" i="1"/>
  <c r="I74" i="1"/>
  <c r="I77" i="1" s="1"/>
  <c r="H63" i="1" s="1"/>
  <c r="AU296" i="1"/>
  <c r="AU299" i="1" s="1"/>
  <c r="AT285" i="1" s="1"/>
  <c r="AS296" i="1" s="1"/>
  <c r="BE17" i="1" l="1"/>
  <c r="F89" i="1"/>
  <c r="AK9" i="1"/>
  <c r="I103" i="1"/>
  <c r="AK17" i="1"/>
  <c r="AR286" i="1"/>
  <c r="AR311" i="1"/>
  <c r="AU325" i="1"/>
  <c r="AT287" i="1"/>
  <c r="AT288" i="1" s="1"/>
  <c r="AU286" i="1" s="1"/>
  <c r="AV286" i="1" s="1"/>
  <c r="AW286" i="1" s="1"/>
  <c r="AK21" i="1"/>
  <c r="AH22" i="1" s="1"/>
  <c r="AK22" i="1" s="1"/>
  <c r="AS276" i="1"/>
  <c r="AU277" i="1" s="1"/>
  <c r="G276" i="1"/>
  <c r="I277" i="1" s="1"/>
  <c r="AP81" i="1"/>
  <c r="AP82" i="1" s="1"/>
  <c r="AR65" i="1"/>
  <c r="AR66" i="1" s="1"/>
  <c r="AR64" i="1"/>
  <c r="AP87" i="1"/>
  <c r="AS74" i="1"/>
  <c r="AC3" i="1"/>
  <c r="Y4" i="1"/>
  <c r="AE3" i="1"/>
  <c r="AD3" i="1"/>
  <c r="P31" i="1"/>
  <c r="AP329" i="1"/>
  <c r="AP330" i="1" s="1"/>
  <c r="AP335" i="1"/>
  <c r="AR313" i="1"/>
  <c r="AR314" i="1" s="1"/>
  <c r="AR312" i="1"/>
  <c r="AP113" i="1"/>
  <c r="AR91" i="1"/>
  <c r="AR92" i="1" s="1"/>
  <c r="AR90" i="1"/>
  <c r="AP107" i="1"/>
  <c r="AP108" i="1" s="1"/>
  <c r="AS45" i="1"/>
  <c r="AN5" i="1"/>
  <c r="AN6" i="1" s="1"/>
  <c r="Z7" i="1"/>
  <c r="AO107" i="1"/>
  <c r="AO108" i="1" s="1"/>
  <c r="AN111" i="1" s="1"/>
  <c r="AO113" i="1"/>
  <c r="A87" i="1"/>
  <c r="A81" i="1"/>
  <c r="A82" i="1" s="1"/>
  <c r="H89" i="1"/>
  <c r="BE13" i="1"/>
  <c r="AN107" i="1"/>
  <c r="AN108" i="1" s="1"/>
  <c r="AN113" i="1"/>
  <c r="AN335" i="1"/>
  <c r="AN329" i="1"/>
  <c r="AN330" i="1" s="1"/>
  <c r="AU100" i="1"/>
  <c r="AU103" i="1" s="1"/>
  <c r="C335" i="1"/>
  <c r="C329" i="1"/>
  <c r="C330" i="1" s="1"/>
  <c r="B333" i="1" s="1"/>
  <c r="AA7" i="1"/>
  <c r="I322" i="1"/>
  <c r="I325" i="1" s="1"/>
  <c r="AE11" i="1"/>
  <c r="AH10" i="1"/>
  <c r="H64" i="1"/>
  <c r="H36" i="1" s="1"/>
  <c r="H91" i="1"/>
  <c r="H92" i="1" s="1"/>
  <c r="H90" i="1"/>
  <c r="B113" i="1"/>
  <c r="B107" i="1"/>
  <c r="B108" i="1" s="1"/>
  <c r="AR291" i="1"/>
  <c r="AR295" i="1" s="1"/>
  <c r="AV257" i="1"/>
  <c r="V15" i="1" s="1"/>
  <c r="E31" i="1"/>
  <c r="F64" i="1"/>
  <c r="D87" i="1"/>
  <c r="D81" i="1"/>
  <c r="D82" i="1" s="1"/>
  <c r="F65" i="1"/>
  <c r="F66" i="1" s="1"/>
  <c r="G74" i="1"/>
  <c r="AS267" i="1"/>
  <c r="L259" i="1"/>
  <c r="I262" i="1"/>
  <c r="T260" i="1"/>
  <c r="T261" i="1" s="1"/>
  <c r="AT286" i="1"/>
  <c r="AT258" i="1" s="1"/>
  <c r="BF38" i="1"/>
  <c r="BF39" i="1" s="1"/>
  <c r="AX37" i="1"/>
  <c r="AU40" i="1"/>
  <c r="F90" i="1"/>
  <c r="D113" i="1"/>
  <c r="D107" i="1"/>
  <c r="D108" i="1" s="1"/>
  <c r="F91" i="1"/>
  <c r="F92" i="1" s="1"/>
  <c r="G100" i="1"/>
  <c r="G267" i="1"/>
  <c r="AK13" i="1"/>
  <c r="AT81" i="1"/>
  <c r="W4" i="1"/>
  <c r="BE9" i="1"/>
  <c r="AO329" i="1"/>
  <c r="AO330" i="1" s="1"/>
  <c r="AN333" i="1" s="1"/>
  <c r="AO335" i="1"/>
  <c r="T5" i="1"/>
  <c r="T6" i="1" s="1"/>
  <c r="F7" i="1"/>
  <c r="G7" i="1"/>
  <c r="AY19" i="1"/>
  <c r="BB18" i="1"/>
  <c r="G296" i="1"/>
  <c r="H65" i="1"/>
  <c r="H66" i="1" s="1"/>
  <c r="C113" i="1"/>
  <c r="C107" i="1"/>
  <c r="C108" i="1" s="1"/>
  <c r="B111" i="1" s="1"/>
  <c r="H303" i="1"/>
  <c r="I40" i="1"/>
  <c r="T38" i="1"/>
  <c r="T39" i="1" s="1"/>
  <c r="L37" i="1"/>
  <c r="B335" i="1"/>
  <c r="B329" i="1"/>
  <c r="B330" i="1" s="1"/>
  <c r="AT303" i="1"/>
  <c r="AT89" i="1"/>
  <c r="AM81" i="1"/>
  <c r="AM82" i="1" s="1"/>
  <c r="AM87" i="1"/>
  <c r="I55" i="1"/>
  <c r="T53" i="1"/>
  <c r="T54" i="1" s="1"/>
  <c r="G45" i="1"/>
  <c r="H257" i="1"/>
  <c r="P30" i="1" s="1"/>
  <c r="I285" i="1"/>
  <c r="J285" i="1" s="1"/>
  <c r="K285" i="1" s="1"/>
  <c r="N330" i="1"/>
  <c r="O330" i="1" s="1"/>
  <c r="O329" i="1" s="1"/>
  <c r="P329" i="1" s="1"/>
  <c r="Q329" i="1" s="1"/>
  <c r="E311" i="1" s="1"/>
  <c r="AT69" i="1"/>
  <c r="AT73" i="1" s="1"/>
  <c r="AV36" i="1"/>
  <c r="AT291" i="1"/>
  <c r="AT295" i="1" s="1"/>
  <c r="AV258" i="1"/>
  <c r="AT311" i="1"/>
  <c r="AS322" i="1" s="1"/>
  <c r="AM303" i="1"/>
  <c r="AM304" i="1" s="1"/>
  <c r="AM309" i="1"/>
  <c r="BE18" i="1"/>
  <c r="AK10" i="1"/>
  <c r="AN10" i="1" s="1"/>
  <c r="BE21" i="1"/>
  <c r="AU262" i="1"/>
  <c r="BF260" i="1"/>
  <c r="BF261" i="1" s="1"/>
  <c r="AX259" i="1"/>
  <c r="H81" i="1"/>
  <c r="AU55" i="1"/>
  <c r="BF53" i="1"/>
  <c r="BF54" i="1" s="1"/>
  <c r="H311" i="1"/>
  <c r="H313" i="1" s="1"/>
  <c r="H314" i="1" s="1"/>
  <c r="A309" i="1"/>
  <c r="A303" i="1"/>
  <c r="A304" i="1" s="1"/>
  <c r="AH18" i="1"/>
  <c r="AK18" i="1" s="1"/>
  <c r="AE19" i="1"/>
  <c r="H287" i="1"/>
  <c r="H288" i="1" s="1"/>
  <c r="F299" i="1" s="1"/>
  <c r="G299" i="1" s="1"/>
  <c r="H2" i="1"/>
  <c r="F291" i="1"/>
  <c r="F295" i="1" s="1"/>
  <c r="J257" i="1"/>
  <c r="R15" i="1" s="1"/>
  <c r="AT257" i="1"/>
  <c r="T30" i="1" s="1"/>
  <c r="AT261" i="1" l="1"/>
  <c r="AX262" i="1" s="1"/>
  <c r="H39" i="1"/>
  <c r="I286" i="1"/>
  <c r="J286" i="1" s="1"/>
  <c r="K286" i="1" s="1"/>
  <c r="I287" i="1" s="1"/>
  <c r="H289" i="1" s="1"/>
  <c r="U4" i="1"/>
  <c r="AR299" i="1"/>
  <c r="AE23" i="1"/>
  <c r="AU285" i="1"/>
  <c r="AV285" i="1" s="1"/>
  <c r="AW285" i="1" s="1"/>
  <c r="AU287" i="1" s="1"/>
  <c r="AB6" i="1"/>
  <c r="AS299" i="1"/>
  <c r="AO286" i="1"/>
  <c r="BF275" i="1"/>
  <c r="BF276" i="1" s="1"/>
  <c r="T275" i="1"/>
  <c r="T276" i="1" s="1"/>
  <c r="F313" i="1"/>
  <c r="F314" i="1" s="1"/>
  <c r="F312" i="1"/>
  <c r="D335" i="1"/>
  <c r="D329" i="1"/>
  <c r="D330" i="1" s="1"/>
  <c r="G322" i="1"/>
  <c r="AH23" i="1"/>
  <c r="AL23" i="1"/>
  <c r="AN22" i="1"/>
  <c r="AM22" i="1"/>
  <c r="AD23" i="1" s="1"/>
  <c r="H317" i="1"/>
  <c r="B4" i="1"/>
  <c r="E3" i="1"/>
  <c r="H3" i="1" s="1"/>
  <c r="K3" i="1" s="1"/>
  <c r="AT54" i="1"/>
  <c r="AX55" i="1" s="1"/>
  <c r="BF19" i="1"/>
  <c r="BB19" i="1"/>
  <c r="H54" i="1"/>
  <c r="L55" i="1" s="1"/>
  <c r="AM113" i="1"/>
  <c r="AM107" i="1"/>
  <c r="AM108" i="1" s="1"/>
  <c r="H312" i="1"/>
  <c r="H107" i="1"/>
  <c r="H6" i="1"/>
  <c r="AY11" i="1"/>
  <c r="BB10" i="1"/>
  <c r="BE10" i="1" s="1"/>
  <c r="BH10" i="1" s="1"/>
  <c r="AH14" i="1"/>
  <c r="AK14" i="1" s="1"/>
  <c r="AN14" i="1" s="1"/>
  <c r="AE15" i="1"/>
  <c r="AT259" i="1"/>
  <c r="AU259" i="1" s="1"/>
  <c r="T31" i="1"/>
  <c r="AT90" i="1"/>
  <c r="AU89" i="1" s="1"/>
  <c r="AV89" i="1" s="1"/>
  <c r="AW89" i="1" s="1"/>
  <c r="A113" i="1"/>
  <c r="A107" i="1"/>
  <c r="A108" i="1" s="1"/>
  <c r="V8" i="1"/>
  <c r="Y7" i="1"/>
  <c r="H259" i="1"/>
  <c r="I259" i="1" s="1"/>
  <c r="AT35" i="1"/>
  <c r="AU63" i="1"/>
  <c r="AV63" i="1" s="1"/>
  <c r="AW63" i="1" s="1"/>
  <c r="AH19" i="1"/>
  <c r="AF19" i="1" s="1"/>
  <c r="AL18" i="1"/>
  <c r="AL19" i="1"/>
  <c r="AM335" i="1"/>
  <c r="AM329" i="1"/>
  <c r="AM330" i="1" s="1"/>
  <c r="G16" i="1"/>
  <c r="F40" i="1"/>
  <c r="L35" i="1"/>
  <c r="E36" i="1"/>
  <c r="A40" i="1"/>
  <c r="L40" i="1"/>
  <c r="H69" i="1"/>
  <c r="H73" i="1" s="1"/>
  <c r="J36" i="1"/>
  <c r="BG18" i="1"/>
  <c r="F95" i="1"/>
  <c r="F99" i="1" s="1"/>
  <c r="F103" i="1"/>
  <c r="G103" i="1" s="1"/>
  <c r="I90" i="1"/>
  <c r="J90" i="1" s="1"/>
  <c r="K90" i="1" s="1"/>
  <c r="I89" i="1"/>
  <c r="J89" i="1" s="1"/>
  <c r="K89" i="1" s="1"/>
  <c r="H261" i="1"/>
  <c r="L262" i="1" s="1"/>
  <c r="H95" i="1"/>
  <c r="C90" i="1" s="1"/>
  <c r="AB7" i="1"/>
  <c r="AT91" i="1"/>
  <c r="AT92" i="1" s="1"/>
  <c r="AU90" i="1" s="1"/>
  <c r="AV90" i="1" s="1"/>
  <c r="AW90" i="1" s="1"/>
  <c r="AR95" i="1"/>
  <c r="AR99" i="1" s="1"/>
  <c r="Z4" i="1"/>
  <c r="AV35" i="1"/>
  <c r="G15" i="1" s="1"/>
  <c r="AR69" i="1"/>
  <c r="AR73" i="1" s="1"/>
  <c r="AR77" i="1"/>
  <c r="AS77" i="1" s="1"/>
  <c r="AU64" i="1"/>
  <c r="AV64" i="1" s="1"/>
  <c r="AW64" i="1" s="1"/>
  <c r="H291" i="1"/>
  <c r="H295" i="1" s="1"/>
  <c r="J258" i="1"/>
  <c r="AM18" i="1"/>
  <c r="AR262" i="1"/>
  <c r="AQ258" i="1"/>
  <c r="AX257" i="1"/>
  <c r="AP262" i="1"/>
  <c r="AM262" i="1"/>
  <c r="W31" i="1" s="1"/>
  <c r="V31" i="1" s="1"/>
  <c r="I46" i="1"/>
  <c r="T44" i="1"/>
  <c r="T45" i="1" s="1"/>
  <c r="AZ19" i="1"/>
  <c r="AT329" i="1"/>
  <c r="I268" i="1"/>
  <c r="T266" i="1"/>
  <c r="T267" i="1" s="1"/>
  <c r="AU268" i="1"/>
  <c r="BF266" i="1"/>
  <c r="BF267" i="1" s="1"/>
  <c r="F69" i="1"/>
  <c r="F73" i="1" s="1"/>
  <c r="J35" i="1"/>
  <c r="C15" i="1" s="1"/>
  <c r="I64" i="1"/>
  <c r="J64" i="1" s="1"/>
  <c r="K64" i="1" s="1"/>
  <c r="F77" i="1"/>
  <c r="G77" i="1" s="1"/>
  <c r="H35" i="1"/>
  <c r="A30" i="1" s="1"/>
  <c r="I63" i="1"/>
  <c r="J63" i="1" s="1"/>
  <c r="K63" i="1" s="1"/>
  <c r="H329" i="1"/>
  <c r="AT312" i="1"/>
  <c r="AY15" i="1"/>
  <c r="BB14" i="1"/>
  <c r="BE14" i="1" s="1"/>
  <c r="BH14" i="1" s="1"/>
  <c r="AS100" i="1"/>
  <c r="AY23" i="1"/>
  <c r="BB22" i="1"/>
  <c r="BE22" i="1" s="1"/>
  <c r="AN18" i="1"/>
  <c r="H321" i="1"/>
  <c r="A335" i="1"/>
  <c r="A329" i="1"/>
  <c r="A330" i="1" s="1"/>
  <c r="AH11" i="1"/>
  <c r="AF11" i="1" s="1"/>
  <c r="AL11" i="1"/>
  <c r="AV259" i="1"/>
  <c r="V16" i="1"/>
  <c r="D40" i="1"/>
  <c r="AF23" i="1"/>
  <c r="BH18" i="1"/>
  <c r="AT39" i="1"/>
  <c r="A31" i="1"/>
  <c r="AM10" i="1"/>
  <c r="AD11" i="1" s="1"/>
  <c r="AT313" i="1"/>
  <c r="AT314" i="1" s="1"/>
  <c r="AR325" i="1" s="1"/>
  <c r="AT107" i="1"/>
  <c r="AU46" i="1"/>
  <c r="BF44" i="1"/>
  <c r="BF45" i="1" s="1"/>
  <c r="AR317" i="1"/>
  <c r="AR321" i="1" s="1"/>
  <c r="AR103" i="1" l="1"/>
  <c r="AS103" i="1" s="1"/>
  <c r="AU65" i="1"/>
  <c r="AY72" i="1" s="1"/>
  <c r="AY73" i="1" s="1"/>
  <c r="AU91" i="1"/>
  <c r="AP93" i="1" s="1"/>
  <c r="H37" i="1"/>
  <c r="I37" i="1" s="1"/>
  <c r="C64" i="1"/>
  <c r="I91" i="1"/>
  <c r="H93" i="1" s="1"/>
  <c r="H94" i="1" s="1"/>
  <c r="C104" i="1" s="1"/>
  <c r="C105" i="1" s="1"/>
  <c r="J3" i="1"/>
  <c r="F289" i="1"/>
  <c r="M294" i="1"/>
  <c r="M295" i="1" s="1"/>
  <c r="C286" i="1"/>
  <c r="D289" i="1"/>
  <c r="AS325" i="1"/>
  <c r="AU312" i="1"/>
  <c r="AV312" i="1" s="1"/>
  <c r="AW312" i="1" s="1"/>
  <c r="H276" i="1"/>
  <c r="L277" i="1" s="1"/>
  <c r="AT276" i="1"/>
  <c r="AX277" i="1" s="1"/>
  <c r="AT45" i="1"/>
  <c r="AI11" i="1"/>
  <c r="AL10" i="1" s="1"/>
  <c r="AR40" i="1"/>
  <c r="AQ36" i="1"/>
  <c r="AX35" i="1"/>
  <c r="AM40" i="1"/>
  <c r="H31" i="1" s="1"/>
  <c r="G31" i="1" s="1"/>
  <c r="AP40" i="1"/>
  <c r="BF23" i="1"/>
  <c r="BB23" i="1"/>
  <c r="I65" i="1"/>
  <c r="AT267" i="1"/>
  <c r="H267" i="1"/>
  <c r="AC7" i="1"/>
  <c r="Y8" i="1"/>
  <c r="E258" i="1"/>
  <c r="F262" i="1"/>
  <c r="L257" i="1"/>
  <c r="A262" i="1"/>
  <c r="S31" i="1" s="1"/>
  <c r="R31" i="1" s="1"/>
  <c r="D262" i="1"/>
  <c r="AX19" i="1"/>
  <c r="BC19" i="1" s="1"/>
  <c r="BF18" i="1" s="1"/>
  <c r="AE7" i="1"/>
  <c r="H99" i="1"/>
  <c r="I311" i="1"/>
  <c r="J311" i="1" s="1"/>
  <c r="K311" i="1" s="1"/>
  <c r="BG22" i="1"/>
  <c r="AU311" i="1"/>
  <c r="AV311" i="1" s="1"/>
  <c r="AW311" i="1" s="1"/>
  <c r="AD19" i="1"/>
  <c r="AI19" i="1" s="1"/>
  <c r="AT95" i="1"/>
  <c r="AT99" i="1" s="1"/>
  <c r="J37" i="1"/>
  <c r="C16" i="1"/>
  <c r="L34" i="1"/>
  <c r="D37" i="1"/>
  <c r="C40" i="1"/>
  <c r="H40" i="1" s="1"/>
  <c r="BF11" i="1"/>
  <c r="BB11" i="1"/>
  <c r="E7" i="1"/>
  <c r="H7" i="1" s="1"/>
  <c r="J7" i="1" s="1"/>
  <c r="B8" i="1"/>
  <c r="F55" i="1"/>
  <c r="A55" i="1"/>
  <c r="C55" i="1" s="1"/>
  <c r="D55" i="1"/>
  <c r="AR55" i="1"/>
  <c r="AM55" i="1"/>
  <c r="AO55" i="1" s="1"/>
  <c r="AP55" i="1"/>
  <c r="A4" i="1"/>
  <c r="F317" i="1"/>
  <c r="F321" i="1" s="1"/>
  <c r="I312" i="1"/>
  <c r="J312" i="1" s="1"/>
  <c r="K312" i="1" s="1"/>
  <c r="F325" i="1"/>
  <c r="G325" i="1" s="1"/>
  <c r="F290" i="1"/>
  <c r="F292" i="1"/>
  <c r="AZ23" i="1"/>
  <c r="BF15" i="1"/>
  <c r="BB15" i="1"/>
  <c r="AZ15" i="1" s="1"/>
  <c r="AP289" i="1"/>
  <c r="AY294" i="1"/>
  <c r="AY295" i="1" s="1"/>
  <c r="AT289" i="1"/>
  <c r="AR289" i="1"/>
  <c r="J259" i="1"/>
  <c r="R16" i="1"/>
  <c r="D290" i="1"/>
  <c r="D292" i="1"/>
  <c r="E37" i="1"/>
  <c r="AV37" i="1"/>
  <c r="AO64" i="1"/>
  <c r="AD7" i="1"/>
  <c r="U8" i="1" s="1"/>
  <c r="AH15" i="1"/>
  <c r="AF15" i="1" s="1"/>
  <c r="AL15" i="1"/>
  <c r="BG10" i="1"/>
  <c r="AX11" i="1" s="1"/>
  <c r="E4" i="1"/>
  <c r="C4" i="1" s="1"/>
  <c r="I3" i="1"/>
  <c r="AI23" i="1"/>
  <c r="AL22" i="1" s="1"/>
  <c r="AX46" i="1"/>
  <c r="AT317" i="1"/>
  <c r="AT321" i="1" s="1"/>
  <c r="BH22" i="1"/>
  <c r="BG14" i="1"/>
  <c r="AX15" i="1" s="1"/>
  <c r="AX268" i="1"/>
  <c r="L268" i="1"/>
  <c r="H45" i="1"/>
  <c r="AP259" i="1"/>
  <c r="AX256" i="1"/>
  <c r="AO262" i="1"/>
  <c r="AQ259" i="1"/>
  <c r="H290" i="1"/>
  <c r="C300" i="1" s="1"/>
  <c r="C301" i="1" s="1"/>
  <c r="H292" i="1"/>
  <c r="AP67" i="1"/>
  <c r="AR67" i="1"/>
  <c r="AR93" i="1"/>
  <c r="F93" i="1"/>
  <c r="D31" i="1"/>
  <c r="C31" i="1" s="1"/>
  <c r="E30" i="1"/>
  <c r="AT37" i="1"/>
  <c r="AU37" i="1" s="1"/>
  <c r="W8" i="1"/>
  <c r="AX40" i="1"/>
  <c r="AM14" i="1"/>
  <c r="AD15" i="1" s="1"/>
  <c r="AZ11" i="1"/>
  <c r="H96" i="1" l="1"/>
  <c r="D93" i="1"/>
  <c r="D96" i="1" s="1"/>
  <c r="M98" i="1"/>
  <c r="M99" i="1" s="1"/>
  <c r="AT93" i="1"/>
  <c r="AY98" i="1"/>
  <c r="AY99" i="1" s="1"/>
  <c r="AT67" i="1"/>
  <c r="K7" i="1"/>
  <c r="I313" i="1"/>
  <c r="AU313" i="1"/>
  <c r="AP315" i="1" s="1"/>
  <c r="F277" i="1"/>
  <c r="D277" i="1"/>
  <c r="A277" i="1"/>
  <c r="C277" i="1" s="1"/>
  <c r="AM277" i="1"/>
  <c r="AO277" i="1" s="1"/>
  <c r="AP277" i="1"/>
  <c r="AR277" i="1"/>
  <c r="H55" i="1"/>
  <c r="G57" i="1" s="1"/>
  <c r="A18" i="1" s="1"/>
  <c r="AQ55" i="1"/>
  <c r="F94" i="1"/>
  <c r="F96" i="1"/>
  <c r="F46" i="1"/>
  <c r="G34" i="1"/>
  <c r="A46" i="1"/>
  <c r="D46" i="1"/>
  <c r="AT290" i="1"/>
  <c r="AT292" i="1"/>
  <c r="B300" i="1"/>
  <c r="B301" i="1" s="1"/>
  <c r="F294" i="1"/>
  <c r="E288" i="1" s="1"/>
  <c r="H42" i="1"/>
  <c r="G42" i="1"/>
  <c r="A16" i="1" s="1"/>
  <c r="G40" i="1"/>
  <c r="D36" i="1" s="1"/>
  <c r="M72" i="1"/>
  <c r="M73" i="1" s="1"/>
  <c r="D67" i="1"/>
  <c r="H67" i="1"/>
  <c r="F67" i="1"/>
  <c r="AR94" i="1"/>
  <c r="AR96" i="1"/>
  <c r="AP68" i="1"/>
  <c r="AP70" i="1"/>
  <c r="AQ262" i="1"/>
  <c r="AS262" i="1" s="1"/>
  <c r="AP258" i="1" s="1"/>
  <c r="AT262" i="1"/>
  <c r="BC15" i="1"/>
  <c r="BF14" i="1" s="1"/>
  <c r="H97" i="1"/>
  <c r="G91" i="1" s="1"/>
  <c r="AP94" i="1"/>
  <c r="AP96" i="1"/>
  <c r="F4" i="1"/>
  <c r="E55" i="1"/>
  <c r="A8" i="1"/>
  <c r="C262" i="1"/>
  <c r="H262" i="1" s="1"/>
  <c r="L256" i="1"/>
  <c r="D259" i="1"/>
  <c r="E259" i="1" s="1"/>
  <c r="H294" i="1"/>
  <c r="AS34" i="1"/>
  <c r="AR46" i="1"/>
  <c r="AM46" i="1"/>
  <c r="AP46" i="1"/>
  <c r="AR68" i="1"/>
  <c r="AR70" i="1"/>
  <c r="BC11" i="1"/>
  <c r="BF10" i="1" s="1"/>
  <c r="Z8" i="1"/>
  <c r="D293" i="1"/>
  <c r="E287" i="1" s="1"/>
  <c r="L46" i="1"/>
  <c r="AP290" i="1"/>
  <c r="AP292" i="1"/>
  <c r="M320" i="1"/>
  <c r="M321" i="1" s="1"/>
  <c r="D315" i="1"/>
  <c r="AT94" i="1"/>
  <c r="AO104" i="1" s="1"/>
  <c r="AO105" i="1" s="1"/>
  <c r="AT96" i="1"/>
  <c r="AX23" i="1"/>
  <c r="BC23" i="1" s="1"/>
  <c r="BF22" i="1" s="1"/>
  <c r="C312" i="1"/>
  <c r="D94" i="1"/>
  <c r="G256" i="1"/>
  <c r="F268" i="1"/>
  <c r="A268" i="1"/>
  <c r="D268" i="1"/>
  <c r="AO312" i="1"/>
  <c r="AI15" i="1"/>
  <c r="AL14" i="1" s="1"/>
  <c r="H293" i="1"/>
  <c r="G287" i="1" s="1"/>
  <c r="G286" i="1"/>
  <c r="AT68" i="1"/>
  <c r="AT70" i="1"/>
  <c r="A300" i="1"/>
  <c r="D294" i="1"/>
  <c r="C287" i="1" s="1"/>
  <c r="AR290" i="1"/>
  <c r="AR292" i="1"/>
  <c r="F293" i="1"/>
  <c r="E289" i="1" s="1"/>
  <c r="F315" i="1"/>
  <c r="AT55" i="1"/>
  <c r="E8" i="1"/>
  <c r="C8" i="1" s="1"/>
  <c r="I7" i="1"/>
  <c r="E40" i="1"/>
  <c r="H98" i="1"/>
  <c r="AR268" i="1"/>
  <c r="AS256" i="1"/>
  <c r="AM268" i="1"/>
  <c r="AS258" i="1" s="1"/>
  <c r="AP268" i="1"/>
  <c r="AO40" i="1"/>
  <c r="AT40" i="1" s="1"/>
  <c r="AP37" i="1"/>
  <c r="AQ37" i="1" s="1"/>
  <c r="AX34" i="1"/>
  <c r="AO90" i="1"/>
  <c r="H315" i="1"/>
  <c r="G90" i="1" l="1"/>
  <c r="F97" i="1"/>
  <c r="E93" i="1" s="1"/>
  <c r="AT315" i="1"/>
  <c r="AR315" i="1"/>
  <c r="AR316" i="1" s="1"/>
  <c r="AY320" i="1"/>
  <c r="AY321" i="1" s="1"/>
  <c r="AR293" i="1"/>
  <c r="AQ289" i="1" s="1"/>
  <c r="AT277" i="1"/>
  <c r="AS277" i="1" s="1"/>
  <c r="AS259" i="1" s="1"/>
  <c r="H277" i="1"/>
  <c r="G279" i="1" s="1"/>
  <c r="P18" i="1" s="1"/>
  <c r="E277" i="1"/>
  <c r="AQ277" i="1"/>
  <c r="H57" i="1"/>
  <c r="G55" i="1"/>
  <c r="G37" i="1" s="1"/>
  <c r="AS57" i="1"/>
  <c r="AS55" i="1"/>
  <c r="AS37" i="1" s="1"/>
  <c r="AT57" i="1"/>
  <c r="AN300" i="1"/>
  <c r="AN301" i="1" s="1"/>
  <c r="AR294" i="1"/>
  <c r="AQ288" i="1" s="1"/>
  <c r="AO78" i="1"/>
  <c r="AO79" i="1" s="1"/>
  <c r="AT72" i="1"/>
  <c r="G257" i="1"/>
  <c r="C268" i="1"/>
  <c r="H268" i="1" s="1"/>
  <c r="AT97" i="1"/>
  <c r="AS91" i="1" s="1"/>
  <c r="F316" i="1"/>
  <c r="F318" i="1"/>
  <c r="A104" i="1"/>
  <c r="D98" i="1"/>
  <c r="C91" i="1" s="1"/>
  <c r="AM300" i="1"/>
  <c r="AP294" i="1"/>
  <c r="AO287" i="1" s="1"/>
  <c r="F8" i="1"/>
  <c r="AM104" i="1"/>
  <c r="AP98" i="1"/>
  <c r="AT264" i="1"/>
  <c r="AS264" i="1"/>
  <c r="T16" i="1" s="1"/>
  <c r="AR97" i="1"/>
  <c r="AQ93" i="1" s="1"/>
  <c r="D68" i="1"/>
  <c r="D70" i="1"/>
  <c r="AS42" i="1"/>
  <c r="E16" i="1" s="1"/>
  <c r="AS40" i="1"/>
  <c r="AP36" i="1" s="1"/>
  <c r="AT42" i="1"/>
  <c r="B302" i="1"/>
  <c r="A301" i="1"/>
  <c r="A302" i="1" s="1"/>
  <c r="AQ40" i="1"/>
  <c r="D316" i="1"/>
  <c r="D318" i="1"/>
  <c r="AS35" i="1"/>
  <c r="AO46" i="1"/>
  <c r="AT46" i="1" s="1"/>
  <c r="H264" i="1"/>
  <c r="G262" i="1"/>
  <c r="D258" i="1" s="1"/>
  <c r="G264" i="1"/>
  <c r="P16" i="1" s="1"/>
  <c r="AN104" i="1"/>
  <c r="AN105" i="1" s="1"/>
  <c r="AR98" i="1"/>
  <c r="AQ92" i="1" s="1"/>
  <c r="AT293" i="1"/>
  <c r="AS287" i="1" s="1"/>
  <c r="G35" i="1"/>
  <c r="C46" i="1"/>
  <c r="H46" i="1" s="1"/>
  <c r="H316" i="1"/>
  <c r="H318" i="1"/>
  <c r="AS64" i="1"/>
  <c r="AT71" i="1"/>
  <c r="AS65" i="1" s="1"/>
  <c r="E268" i="1"/>
  <c r="G258" i="1"/>
  <c r="AR71" i="1"/>
  <c r="AQ67" i="1" s="1"/>
  <c r="AP71" i="1"/>
  <c r="AQ65" i="1" s="1"/>
  <c r="F68" i="1"/>
  <c r="F70" i="1"/>
  <c r="E262" i="1"/>
  <c r="AO300" i="1"/>
  <c r="AO301" i="1" s="1"/>
  <c r="AT294" i="1"/>
  <c r="AS286" i="1" s="1"/>
  <c r="G36" i="1"/>
  <c r="B104" i="1"/>
  <c r="B105" i="1" s="1"/>
  <c r="F98" i="1"/>
  <c r="E92" i="1" s="1"/>
  <c r="AP316" i="1"/>
  <c r="AP318" i="1"/>
  <c r="AO268" i="1"/>
  <c r="AT268" i="1" s="1"/>
  <c r="AS257" i="1"/>
  <c r="D97" i="1"/>
  <c r="E91" i="1" s="1"/>
  <c r="AP293" i="1"/>
  <c r="AQ287" i="1" s="1"/>
  <c r="AN78" i="1"/>
  <c r="AN79" i="1" s="1"/>
  <c r="AR72" i="1"/>
  <c r="AQ66" i="1" s="1"/>
  <c r="AS36" i="1"/>
  <c r="AT98" i="1"/>
  <c r="AS90" i="1" s="1"/>
  <c r="AP97" i="1"/>
  <c r="AQ91" i="1" s="1"/>
  <c r="AO91" i="1"/>
  <c r="AM78" i="1"/>
  <c r="AP72" i="1"/>
  <c r="AO65" i="1" s="1"/>
  <c r="H68" i="1"/>
  <c r="H70" i="1"/>
  <c r="AT316" i="1"/>
  <c r="AT318" i="1"/>
  <c r="F319" i="1" l="1"/>
  <c r="E315" i="1" s="1"/>
  <c r="AR318" i="1"/>
  <c r="H279" i="1"/>
  <c r="G277" i="1"/>
  <c r="G259" i="1" s="1"/>
  <c r="AS279" i="1"/>
  <c r="T18" i="1" s="1"/>
  <c r="AT279" i="1"/>
  <c r="H71" i="1"/>
  <c r="G65" i="1" s="1"/>
  <c r="AS268" i="1"/>
  <c r="AS255" i="1" s="1"/>
  <c r="AT270" i="1"/>
  <c r="AS270" i="1"/>
  <c r="T17" i="1" s="1"/>
  <c r="AO326" i="1"/>
  <c r="AO327" i="1" s="1"/>
  <c r="AT320" i="1"/>
  <c r="AS312" i="1" s="1"/>
  <c r="AM79" i="1"/>
  <c r="AM80" i="1" s="1"/>
  <c r="AN80" i="1"/>
  <c r="AP319" i="1"/>
  <c r="AQ313" i="1" s="1"/>
  <c r="F71" i="1"/>
  <c r="E67" i="1" s="1"/>
  <c r="AS48" i="1"/>
  <c r="AS46" i="1"/>
  <c r="AS33" i="1" s="1"/>
  <c r="AT48" i="1"/>
  <c r="AN326" i="1"/>
  <c r="AN327" i="1" s="1"/>
  <c r="AR320" i="1"/>
  <c r="AM105" i="1"/>
  <c r="AM106" i="1" s="1"/>
  <c r="AN106" i="1"/>
  <c r="B106" i="1"/>
  <c r="A105" i="1"/>
  <c r="A106" i="1" s="1"/>
  <c r="AM326" i="1"/>
  <c r="AP320" i="1"/>
  <c r="AO313" i="1" s="1"/>
  <c r="B78" i="1"/>
  <c r="B79" i="1" s="1"/>
  <c r="F72" i="1"/>
  <c r="E66" i="1" s="1"/>
  <c r="H319" i="1"/>
  <c r="G313" i="1" s="1"/>
  <c r="E46" i="1"/>
  <c r="AN302" i="1"/>
  <c r="AM301" i="1"/>
  <c r="AM302" i="1" s="1"/>
  <c r="C78" i="1"/>
  <c r="C79" i="1" s="1"/>
  <c r="H72" i="1"/>
  <c r="G64" i="1" s="1"/>
  <c r="C326" i="1"/>
  <c r="C327" i="1" s="1"/>
  <c r="H320" i="1"/>
  <c r="G312" i="1" s="1"/>
  <c r="D319" i="1"/>
  <c r="E313" i="1" s="1"/>
  <c r="D300" i="1"/>
  <c r="F301" i="1"/>
  <c r="C289" i="1" s="1"/>
  <c r="D71" i="1"/>
  <c r="E65" i="1" s="1"/>
  <c r="H270" i="1"/>
  <c r="G270" i="1"/>
  <c r="P17" i="1" s="1"/>
  <c r="G268" i="1"/>
  <c r="G255" i="1" s="1"/>
  <c r="AT319" i="1"/>
  <c r="AS313" i="1" s="1"/>
  <c r="AQ268" i="1"/>
  <c r="H48" i="1"/>
  <c r="G48" i="1"/>
  <c r="A17" i="1" s="1"/>
  <c r="G46" i="1"/>
  <c r="G33" i="1" s="1"/>
  <c r="A326" i="1"/>
  <c r="D320" i="1"/>
  <c r="C313" i="1" s="1"/>
  <c r="F302" i="1"/>
  <c r="AR319" i="1"/>
  <c r="AQ315" i="1" s="1"/>
  <c r="A78" i="1"/>
  <c r="D72" i="1"/>
  <c r="C65" i="1" s="1"/>
  <c r="AQ46" i="1"/>
  <c r="B326" i="1"/>
  <c r="B327" i="1" s="1"/>
  <c r="F320" i="1"/>
  <c r="E314" i="1" s="1"/>
  <c r="AR106" i="1" l="1"/>
  <c r="AO92" i="1" s="1"/>
  <c r="AR80" i="1"/>
  <c r="AQ314" i="1"/>
  <c r="AR302" i="1"/>
  <c r="AO288" i="1" s="1"/>
  <c r="B328" i="1"/>
  <c r="A327" i="1"/>
  <c r="A328" i="1" s="1"/>
  <c r="AR105" i="1"/>
  <c r="AO93" i="1" s="1"/>
  <c r="AP104" i="1"/>
  <c r="AR79" i="1"/>
  <c r="AO67" i="1" s="1"/>
  <c r="AP78" i="1"/>
  <c r="B80" i="1"/>
  <c r="A79" i="1"/>
  <c r="A80" i="1" s="1"/>
  <c r="F105" i="1"/>
  <c r="C93" i="1" s="1"/>
  <c r="D104" i="1"/>
  <c r="E18" i="1"/>
  <c r="E17" i="1"/>
  <c r="D302" i="1"/>
  <c r="C288" i="1"/>
  <c r="AR301" i="1"/>
  <c r="AO289" i="1" s="1"/>
  <c r="AP300" i="1"/>
  <c r="AM327" i="1"/>
  <c r="AM328" i="1" s="1"/>
  <c r="AN328" i="1"/>
  <c r="F106" i="1"/>
  <c r="AO66" i="1"/>
  <c r="F80" i="1" l="1"/>
  <c r="C66" i="1" s="1"/>
  <c r="F328" i="1"/>
  <c r="C314" i="1" s="1"/>
  <c r="AR328" i="1"/>
  <c r="AO314" i="1" s="1"/>
  <c r="AO73" i="1"/>
  <c r="D106" i="1"/>
  <c r="C92" i="1"/>
  <c r="C99" i="1" s="1"/>
  <c r="AO295" i="1"/>
  <c r="C294" i="1"/>
  <c r="C290" i="1"/>
  <c r="C292" i="1" s="1"/>
  <c r="B295" i="1"/>
  <c r="B292" i="1" s="1"/>
  <c r="F79" i="1"/>
  <c r="C67" i="1" s="1"/>
  <c r="D78" i="1"/>
  <c r="AP80" i="1"/>
  <c r="AN99" i="1"/>
  <c r="AN96" i="1" s="1"/>
  <c r="AO98" i="1"/>
  <c r="AO94" i="1"/>
  <c r="AO96" i="1" s="1"/>
  <c r="AN295" i="1"/>
  <c r="AN292" i="1" s="1"/>
  <c r="AO290" i="1"/>
  <c r="AO292" i="1" s="1"/>
  <c r="AO294" i="1"/>
  <c r="AO99" i="1"/>
  <c r="AP106" i="1"/>
  <c r="AN73" i="1"/>
  <c r="AN70" i="1" s="1"/>
  <c r="AO68" i="1"/>
  <c r="AO70" i="1" s="1"/>
  <c r="AO72" i="1"/>
  <c r="AR327" i="1"/>
  <c r="AO315" i="1" s="1"/>
  <c r="AP326" i="1"/>
  <c r="D326" i="1"/>
  <c r="F327" i="1"/>
  <c r="C315" i="1" s="1"/>
  <c r="AP302" i="1"/>
  <c r="C295" i="1"/>
  <c r="D80" i="1" l="1"/>
  <c r="B73" i="1"/>
  <c r="B70" i="1" s="1"/>
  <c r="AP77" i="1"/>
  <c r="AO71" i="1"/>
  <c r="AO77" i="1" s="1"/>
  <c r="AN71" i="1" s="1"/>
  <c r="AM68" i="1" s="1"/>
  <c r="AM67" i="1" s="1"/>
  <c r="AQ80" i="1" s="1"/>
  <c r="D328" i="1"/>
  <c r="AP103" i="1"/>
  <c r="AO97" i="1"/>
  <c r="AM77" i="1"/>
  <c r="AO321" i="1"/>
  <c r="C321" i="1"/>
  <c r="AM103" i="1"/>
  <c r="AN93" i="1"/>
  <c r="A299" i="1"/>
  <c r="AM299" i="1"/>
  <c r="C94" i="1"/>
  <c r="C96" i="1" s="1"/>
  <c r="B99" i="1"/>
  <c r="B96" i="1" s="1"/>
  <c r="C98" i="1"/>
  <c r="AN321" i="1"/>
  <c r="C316" i="1"/>
  <c r="C318" i="1" s="1"/>
  <c r="B321" i="1"/>
  <c r="C320" i="1"/>
  <c r="AN289" i="1"/>
  <c r="C73" i="1"/>
  <c r="D299" i="1"/>
  <c r="C293" i="1"/>
  <c r="C299" i="1" s="1"/>
  <c r="B293" i="1" s="1"/>
  <c r="AO316" i="1"/>
  <c r="AO318" i="1" s="1"/>
  <c r="C68" i="1"/>
  <c r="C70" i="1" s="1"/>
  <c r="AN67" i="1"/>
  <c r="AO293" i="1"/>
  <c r="AO299" i="1" s="1"/>
  <c r="AN293" i="1" s="1"/>
  <c r="AP299" i="1"/>
  <c r="AP328" i="1"/>
  <c r="B289" i="1"/>
  <c r="AO320" i="1"/>
  <c r="C72" i="1"/>
  <c r="AN72" i="1" l="1"/>
  <c r="AM73" i="1"/>
  <c r="AM70" i="1" s="1"/>
  <c r="AT80" i="1"/>
  <c r="AT79" i="1"/>
  <c r="AS80" i="1"/>
  <c r="B296" i="1"/>
  <c r="B297" i="1"/>
  <c r="A290" i="1"/>
  <c r="A289" i="1" s="1"/>
  <c r="E302" i="1" s="1"/>
  <c r="A295" i="1"/>
  <c r="A292" i="1" s="1"/>
  <c r="AN297" i="1"/>
  <c r="AN296" i="1"/>
  <c r="AM295" i="1"/>
  <c r="AM292" i="1" s="1"/>
  <c r="AM290" i="1"/>
  <c r="AM289" i="1" s="1"/>
  <c r="AQ302" i="1" s="1"/>
  <c r="B315" i="1"/>
  <c r="D325" i="1"/>
  <c r="C319" i="1"/>
  <c r="C325" i="1" s="1"/>
  <c r="B319" i="1" s="1"/>
  <c r="AM325" i="1"/>
  <c r="AO103" i="1"/>
  <c r="AN97" i="1" s="1"/>
  <c r="AN98" i="1"/>
  <c r="AN294" i="1"/>
  <c r="AN315" i="1"/>
  <c r="B67" i="1"/>
  <c r="AP325" i="1"/>
  <c r="AO319" i="1"/>
  <c r="AO325" i="1" s="1"/>
  <c r="AN319" i="1" s="1"/>
  <c r="B318" i="1"/>
  <c r="A325" i="1"/>
  <c r="D77" i="1"/>
  <c r="C71" i="1"/>
  <c r="C77" i="1" s="1"/>
  <c r="B71" i="1" s="1"/>
  <c r="A77" i="1"/>
  <c r="A103" i="1"/>
  <c r="AN75" i="1"/>
  <c r="AN74" i="1"/>
  <c r="AN318" i="1"/>
  <c r="B93" i="1"/>
  <c r="D103" i="1"/>
  <c r="C97" i="1"/>
  <c r="C103" i="1" s="1"/>
  <c r="B97" i="1" s="1"/>
  <c r="B294" i="1"/>
  <c r="B320" i="1" l="1"/>
  <c r="AN320" i="1"/>
  <c r="B101" i="1"/>
  <c r="C102" i="1" s="1"/>
  <c r="B102" i="1" s="1"/>
  <c r="B100" i="1"/>
  <c r="A102" i="1"/>
  <c r="C298" i="1"/>
  <c r="B298" i="1" s="1"/>
  <c r="B98" i="1"/>
  <c r="AO76" i="1"/>
  <c r="AN76" i="1" s="1"/>
  <c r="B75" i="1"/>
  <c r="B74" i="1"/>
  <c r="A73" i="1"/>
  <c r="A70" i="1" s="1"/>
  <c r="A68" i="1"/>
  <c r="A67" i="1" s="1"/>
  <c r="E80" i="1" s="1"/>
  <c r="AN323" i="1"/>
  <c r="AO324" i="1" s="1"/>
  <c r="AN324" i="1" s="1"/>
  <c r="AN322" i="1"/>
  <c r="AM324" i="1"/>
  <c r="AN101" i="1"/>
  <c r="AO102" i="1" s="1"/>
  <c r="AN102" i="1" s="1"/>
  <c r="AN100" i="1"/>
  <c r="AM102" i="1"/>
  <c r="AO298" i="1"/>
  <c r="AN298" i="1" s="1"/>
  <c r="AS302" i="1"/>
  <c r="AT302" i="1"/>
  <c r="AT301" i="1"/>
  <c r="AS82" i="1"/>
  <c r="AT78" i="1"/>
  <c r="AT77" i="1" s="1"/>
  <c r="AS75" i="1"/>
  <c r="AT82" i="1" s="1"/>
  <c r="B322" i="1"/>
  <c r="B323" i="1"/>
  <c r="C324" i="1" s="1"/>
  <c r="B324" i="1" s="1"/>
  <c r="A324" i="1"/>
  <c r="H302" i="1"/>
  <c r="H301" i="1"/>
  <c r="G302" i="1"/>
  <c r="B72" i="1"/>
  <c r="AS73" i="1" l="1"/>
  <c r="AS71" i="1" s="1"/>
  <c r="B316" i="1"/>
  <c r="B317" i="1"/>
  <c r="AM316" i="1"/>
  <c r="AM315" i="1" s="1"/>
  <c r="AQ328" i="1" s="1"/>
  <c r="AM321" i="1"/>
  <c r="AM318" i="1" s="1"/>
  <c r="A321" i="1"/>
  <c r="A318" i="1" s="1"/>
  <c r="A316" i="1"/>
  <c r="A315" i="1" s="1"/>
  <c r="E328" i="1" s="1"/>
  <c r="AS297" i="1"/>
  <c r="AT304" i="1" s="1"/>
  <c r="AS304" i="1"/>
  <c r="AT300" i="1"/>
  <c r="AT299" i="1" s="1"/>
  <c r="G304" i="1"/>
  <c r="H300" i="1"/>
  <c r="G300" i="1" s="1"/>
  <c r="G297" i="1"/>
  <c r="H304" i="1" s="1"/>
  <c r="AS78" i="1"/>
  <c r="AM99" i="1"/>
  <c r="AM96" i="1" s="1"/>
  <c r="AM94" i="1"/>
  <c r="AM93" i="1" s="1"/>
  <c r="AQ106" i="1" s="1"/>
  <c r="A99" i="1"/>
  <c r="A96" i="1" s="1"/>
  <c r="A94" i="1"/>
  <c r="A93" i="1" s="1"/>
  <c r="E106" i="1" s="1"/>
  <c r="AS72" i="1"/>
  <c r="AS70" i="1" s="1"/>
  <c r="AS69" i="1" s="1"/>
  <c r="AN317" i="1"/>
  <c r="AN316" i="1"/>
  <c r="C76" i="1"/>
  <c r="B76" i="1" s="1"/>
  <c r="B291" i="1"/>
  <c r="A294" i="1" s="1"/>
  <c r="B290" i="1"/>
  <c r="AN291" i="1"/>
  <c r="AM294" i="1" s="1"/>
  <c r="AN290" i="1"/>
  <c r="AN95" i="1"/>
  <c r="AN94" i="1"/>
  <c r="AM98" i="1" s="1"/>
  <c r="H80" i="1"/>
  <c r="H79" i="1"/>
  <c r="G80" i="1"/>
  <c r="AN69" i="1"/>
  <c r="AM72" i="1" s="1"/>
  <c r="AN68" i="1"/>
  <c r="B95" i="1"/>
  <c r="B94" i="1"/>
  <c r="A98" i="1" l="1"/>
  <c r="I95" i="1" s="1"/>
  <c r="H299" i="1"/>
  <c r="A320" i="1"/>
  <c r="G295" i="1"/>
  <c r="G293" i="1" s="1"/>
  <c r="AM320" i="1"/>
  <c r="AO334" i="1" s="1"/>
  <c r="AT334" i="1" s="1"/>
  <c r="AS309" i="1"/>
  <c r="AO308" i="1"/>
  <c r="AT308" i="1" s="1"/>
  <c r="AU291" i="1"/>
  <c r="AM293" i="1"/>
  <c r="AU289" i="1"/>
  <c r="AV289" i="1" s="1"/>
  <c r="AW289" i="1" s="1"/>
  <c r="AM287" i="1" s="1"/>
  <c r="AQ307" i="1"/>
  <c r="AZ255" i="1"/>
  <c r="G82" i="1"/>
  <c r="H78" i="1"/>
  <c r="H77" i="1" s="1"/>
  <c r="G75" i="1"/>
  <c r="H82" i="1" s="1"/>
  <c r="G309" i="1"/>
  <c r="C308" i="1"/>
  <c r="H308" i="1" s="1"/>
  <c r="A293" i="1"/>
  <c r="I289" i="1"/>
  <c r="J289" i="1" s="1"/>
  <c r="K289" i="1" s="1"/>
  <c r="E307" i="1"/>
  <c r="I291" i="1"/>
  <c r="N255" i="1"/>
  <c r="A287" i="1"/>
  <c r="H328" i="1"/>
  <c r="H327" i="1"/>
  <c r="G328" i="1"/>
  <c r="B69" i="1"/>
  <c r="A72" i="1" s="1"/>
  <c r="B68" i="1"/>
  <c r="AT106" i="1"/>
  <c r="AS106" i="1"/>
  <c r="AT105" i="1"/>
  <c r="AS295" i="1"/>
  <c r="AS293" i="1" s="1"/>
  <c r="I315" i="1"/>
  <c r="J315" i="1" s="1"/>
  <c r="K315" i="1" s="1"/>
  <c r="A313" i="1" s="1"/>
  <c r="E333" i="1"/>
  <c r="I317" i="1"/>
  <c r="G335" i="1"/>
  <c r="C334" i="1"/>
  <c r="H334" i="1" s="1"/>
  <c r="O258" i="1"/>
  <c r="O255" i="1"/>
  <c r="A319" i="1"/>
  <c r="AQ111" i="1"/>
  <c r="AU93" i="1"/>
  <c r="AV93" i="1" s="1"/>
  <c r="AW93" i="1" s="1"/>
  <c r="AM91" i="1" s="1"/>
  <c r="AS113" i="1"/>
  <c r="AO112" i="1"/>
  <c r="AT112" i="1" s="1"/>
  <c r="AU95" i="1"/>
  <c r="BA36" i="1"/>
  <c r="BA33" i="1"/>
  <c r="H106" i="1"/>
  <c r="H105" i="1"/>
  <c r="G106" i="1"/>
  <c r="AM97" i="1"/>
  <c r="AS87" i="1"/>
  <c r="AO86" i="1"/>
  <c r="AT86" i="1" s="1"/>
  <c r="AU69" i="1"/>
  <c r="AM71" i="1"/>
  <c r="AU67" i="1"/>
  <c r="AV67" i="1" s="1"/>
  <c r="AW67" i="1" s="1"/>
  <c r="AM65" i="1" s="1"/>
  <c r="AQ85" i="1"/>
  <c r="AZ33" i="1"/>
  <c r="AS335" i="1"/>
  <c r="BA255" i="1"/>
  <c r="AM319" i="1"/>
  <c r="AS300" i="1"/>
  <c r="AT328" i="1"/>
  <c r="AS328" i="1"/>
  <c r="AT327" i="1"/>
  <c r="A97" i="1" l="1"/>
  <c r="I94" i="1" s="1"/>
  <c r="E111" i="1"/>
  <c r="C112" i="1"/>
  <c r="H112" i="1" s="1"/>
  <c r="G113" i="1"/>
  <c r="O36" i="1"/>
  <c r="O33" i="1"/>
  <c r="G78" i="1"/>
  <c r="I93" i="1"/>
  <c r="J93" i="1" s="1"/>
  <c r="K93" i="1" s="1"/>
  <c r="A91" i="1" s="1"/>
  <c r="B89" i="1" s="1"/>
  <c r="G294" i="1"/>
  <c r="G292" i="1" s="1"/>
  <c r="G291" i="1" s="1"/>
  <c r="BA258" i="1"/>
  <c r="AU315" i="1"/>
  <c r="AV315" i="1" s="1"/>
  <c r="AW315" i="1" s="1"/>
  <c r="AM313" i="1" s="1"/>
  <c r="AP334" i="1" s="1"/>
  <c r="AU317" i="1"/>
  <c r="AQ333" i="1"/>
  <c r="AN63" i="1"/>
  <c r="AP86" i="1"/>
  <c r="AP308" i="1"/>
  <c r="AN285" i="1"/>
  <c r="AM69" i="1"/>
  <c r="AT87" i="1"/>
  <c r="AP85" i="1"/>
  <c r="AU68" i="1"/>
  <c r="AU66" i="1"/>
  <c r="AV66" i="1" s="1"/>
  <c r="AZ36" i="1"/>
  <c r="H104" i="1"/>
  <c r="G104" i="1" s="1"/>
  <c r="G108" i="1"/>
  <c r="G101" i="1"/>
  <c r="H108" i="1" s="1"/>
  <c r="H309" i="1"/>
  <c r="D307" i="1"/>
  <c r="I290" i="1"/>
  <c r="A291" i="1"/>
  <c r="I288" i="1"/>
  <c r="J288" i="1" s="1"/>
  <c r="N258" i="1"/>
  <c r="AS330" i="1"/>
  <c r="AT326" i="1"/>
  <c r="AS326" i="1" s="1"/>
  <c r="AS323" i="1"/>
  <c r="AT330" i="1" s="1"/>
  <c r="AT335" i="1"/>
  <c r="AP333" i="1"/>
  <c r="AU316" i="1"/>
  <c r="AU314" i="1"/>
  <c r="AV314" i="1" s="1"/>
  <c r="AM317" i="1"/>
  <c r="AT113" i="1"/>
  <c r="AP111" i="1"/>
  <c r="AU94" i="1"/>
  <c r="AU92" i="1"/>
  <c r="AV92" i="1" s="1"/>
  <c r="AM95" i="1"/>
  <c r="H326" i="1"/>
  <c r="G326" i="1" s="1"/>
  <c r="G330" i="1"/>
  <c r="G323" i="1"/>
  <c r="H330" i="1" s="1"/>
  <c r="A95" i="1"/>
  <c r="H113" i="1"/>
  <c r="D111" i="1"/>
  <c r="I92" i="1"/>
  <c r="J92" i="1" s="1"/>
  <c r="G73" i="1"/>
  <c r="G71" i="1" s="1"/>
  <c r="AT309" i="1"/>
  <c r="AP307" i="1"/>
  <c r="AU290" i="1"/>
  <c r="AM291" i="1"/>
  <c r="AU288" i="1"/>
  <c r="AV288" i="1" s="1"/>
  <c r="AZ258" i="1"/>
  <c r="AP112" i="1"/>
  <c r="AN89" i="1"/>
  <c r="D334" i="1"/>
  <c r="B311" i="1"/>
  <c r="D308" i="1"/>
  <c r="B285" i="1"/>
  <c r="I314" i="1"/>
  <c r="J314" i="1" s="1"/>
  <c r="A317" i="1"/>
  <c r="I316" i="1"/>
  <c r="H335" i="1"/>
  <c r="D333" i="1"/>
  <c r="AS108" i="1"/>
  <c r="AT104" i="1"/>
  <c r="AS104" i="1" s="1"/>
  <c r="AS101" i="1"/>
  <c r="AT108" i="1" s="1"/>
  <c r="G87" i="1"/>
  <c r="C86" i="1"/>
  <c r="H86" i="1" s="1"/>
  <c r="A71" i="1"/>
  <c r="I67" i="1"/>
  <c r="J67" i="1" s="1"/>
  <c r="K67" i="1" s="1"/>
  <c r="A65" i="1" s="1"/>
  <c r="N33" i="1"/>
  <c r="E85" i="1"/>
  <c r="I69" i="1"/>
  <c r="AS294" i="1"/>
  <c r="AS292" i="1" s="1"/>
  <c r="AS291" i="1" s="1"/>
  <c r="AS99" i="1" l="1"/>
  <c r="AS97" i="1" s="1"/>
  <c r="D112" i="1"/>
  <c r="H103" i="1"/>
  <c r="G99" i="1"/>
  <c r="G97" i="1" s="1"/>
  <c r="H325" i="1"/>
  <c r="G321" i="1"/>
  <c r="AN311" i="1"/>
  <c r="N36" i="1"/>
  <c r="A69" i="1"/>
  <c r="I66" i="1"/>
  <c r="J66" i="1" s="1"/>
  <c r="H87" i="1"/>
  <c r="D85" i="1"/>
  <c r="I68" i="1"/>
  <c r="AM90" i="1"/>
  <c r="AW92" i="1"/>
  <c r="AM101" i="1" s="1"/>
  <c r="AM89" i="1" s="1"/>
  <c r="AQ327" i="1"/>
  <c r="AS327" i="1" s="1"/>
  <c r="AS324" i="1" s="1"/>
  <c r="AN331" i="1"/>
  <c r="E301" i="1"/>
  <c r="B305" i="1"/>
  <c r="BA297" i="1"/>
  <c r="AZ254" i="1"/>
  <c r="O323" i="1"/>
  <c r="O254" i="1"/>
  <c r="AW314" i="1"/>
  <c r="AM323" i="1" s="1"/>
  <c r="AM311" i="1" s="1"/>
  <c r="AM312" i="1"/>
  <c r="G72" i="1"/>
  <c r="G70" i="1" s="1"/>
  <c r="G69" i="1" s="1"/>
  <c r="AW66" i="1"/>
  <c r="AM75" i="1" s="1"/>
  <c r="AM63" i="1" s="1"/>
  <c r="AP61" i="1" s="1"/>
  <c r="AR33" i="1" s="1"/>
  <c r="AM64" i="1"/>
  <c r="AQ79" i="1"/>
  <c r="AN83" i="1"/>
  <c r="BA75" i="1"/>
  <c r="AZ32" i="1"/>
  <c r="E327" i="1"/>
  <c r="G327" i="1" s="1"/>
  <c r="G324" i="1" s="1"/>
  <c r="B331" i="1"/>
  <c r="O297" i="1"/>
  <c r="N254" i="1"/>
  <c r="AW288" i="1"/>
  <c r="AM297" i="1" s="1"/>
  <c r="AM285" i="1" s="1"/>
  <c r="AP283" i="1" s="1"/>
  <c r="AR255" i="1" s="1"/>
  <c r="AM286" i="1"/>
  <c r="A90" i="1"/>
  <c r="K92" i="1"/>
  <c r="A101" i="1" s="1"/>
  <c r="A89" i="1" s="1"/>
  <c r="B332" i="1"/>
  <c r="O101" i="1"/>
  <c r="O32" i="1"/>
  <c r="BA323" i="1"/>
  <c r="BA254" i="1"/>
  <c r="B63" i="1"/>
  <c r="D86" i="1"/>
  <c r="A312" i="1"/>
  <c r="K314" i="1"/>
  <c r="A323" i="1" s="1"/>
  <c r="A311" i="1" s="1"/>
  <c r="BA101" i="1"/>
  <c r="BA32" i="1"/>
  <c r="AQ301" i="1"/>
  <c r="AN305" i="1"/>
  <c r="E105" i="1"/>
  <c r="G105" i="1" s="1"/>
  <c r="G102" i="1" s="1"/>
  <c r="B109" i="1"/>
  <c r="AT103" i="1"/>
  <c r="AQ105" i="1"/>
  <c r="AS105" i="1" s="1"/>
  <c r="AS102" i="1" s="1"/>
  <c r="AN109" i="1"/>
  <c r="AN332" i="1"/>
  <c r="AS321" i="1"/>
  <c r="AS319" i="1" s="1"/>
  <c r="K288" i="1"/>
  <c r="A297" i="1" s="1"/>
  <c r="A285" i="1" s="1"/>
  <c r="D283" i="1" s="1"/>
  <c r="F255" i="1" s="1"/>
  <c r="A286" i="1"/>
  <c r="AT325" i="1"/>
  <c r="B110" i="1" l="1"/>
  <c r="AS98" i="1"/>
  <c r="AS96" i="1" s="1"/>
  <c r="AS95" i="1" s="1"/>
  <c r="G98" i="1"/>
  <c r="G96" i="1" s="1"/>
  <c r="G95" i="1" s="1"/>
  <c r="G319" i="1"/>
  <c r="G320" i="1"/>
  <c r="AO332" i="1"/>
  <c r="AO331" i="1"/>
  <c r="AP331" i="1" s="1"/>
  <c r="AS301" i="1"/>
  <c r="AS298" i="1" s="1"/>
  <c r="AN306" i="1"/>
  <c r="P323" i="1"/>
  <c r="B312" i="1"/>
  <c r="A322" i="1" s="1"/>
  <c r="O257" i="1"/>
  <c r="O75" i="1"/>
  <c r="N32" i="1"/>
  <c r="C332" i="1"/>
  <c r="C331" i="1"/>
  <c r="BB323" i="1"/>
  <c r="AN312" i="1"/>
  <c r="AM322" i="1" s="1"/>
  <c r="BA257" i="1"/>
  <c r="AS320" i="1"/>
  <c r="K66" i="1"/>
  <c r="A75" i="1" s="1"/>
  <c r="A63" i="1" s="1"/>
  <c r="D61" i="1" s="1"/>
  <c r="F33" i="1" s="1"/>
  <c r="A64" i="1"/>
  <c r="O35" i="1"/>
  <c r="P101" i="1"/>
  <c r="B90" i="1"/>
  <c r="A100" i="1" s="1"/>
  <c r="BB297" i="1"/>
  <c r="AN286" i="1"/>
  <c r="AM296" i="1" s="1"/>
  <c r="AZ257" i="1"/>
  <c r="BB75" i="1"/>
  <c r="AN64" i="1"/>
  <c r="AM74" i="1" s="1"/>
  <c r="AZ35" i="1"/>
  <c r="E79" i="1"/>
  <c r="B83" i="1"/>
  <c r="P297" i="1"/>
  <c r="N257" i="1"/>
  <c r="B286" i="1"/>
  <c r="A296" i="1" s="1"/>
  <c r="C109" i="1"/>
  <c r="C110" i="1"/>
  <c r="D110" i="1" s="1"/>
  <c r="AS318" i="1"/>
  <c r="AS317" i="1" s="1"/>
  <c r="D331" i="1"/>
  <c r="AS79" i="1"/>
  <c r="AS76" i="1" s="1"/>
  <c r="AN84" i="1"/>
  <c r="G301" i="1"/>
  <c r="G298" i="1" s="1"/>
  <c r="B306" i="1"/>
  <c r="BA35" i="1"/>
  <c r="AN90" i="1"/>
  <c r="AM100" i="1" s="1"/>
  <c r="BB101" i="1"/>
  <c r="AN110" i="1"/>
  <c r="G318" i="1" l="1"/>
  <c r="G317" i="1" s="1"/>
  <c r="AN91" i="1"/>
  <c r="AM92" i="1" s="1"/>
  <c r="AN92" i="1"/>
  <c r="H18" i="1" s="1"/>
  <c r="B92" i="1"/>
  <c r="D18" i="1" s="1"/>
  <c r="B91" i="1"/>
  <c r="A92" i="1" s="1"/>
  <c r="AQ331" i="1"/>
  <c r="C306" i="1"/>
  <c r="C305" i="1"/>
  <c r="AO110" i="1"/>
  <c r="AO109" i="1"/>
  <c r="AO83" i="1"/>
  <c r="AO84" i="1"/>
  <c r="AP84" i="1" s="1"/>
  <c r="A261" i="1"/>
  <c r="B288" i="1"/>
  <c r="S17" i="1" s="1"/>
  <c r="B287" i="1"/>
  <c r="A288" i="1" s="1"/>
  <c r="AM39" i="1"/>
  <c r="AN65" i="1"/>
  <c r="AM66" i="1" s="1"/>
  <c r="AN66" i="1"/>
  <c r="H17" i="1" s="1"/>
  <c r="D109" i="1"/>
  <c r="E109" i="1" s="1"/>
  <c r="D332" i="1"/>
  <c r="E332" i="1" s="1"/>
  <c r="AO306" i="1"/>
  <c r="AO305" i="1"/>
  <c r="AP332" i="1"/>
  <c r="AQ332" i="1" s="1"/>
  <c r="E110" i="1"/>
  <c r="G79" i="1"/>
  <c r="G76" i="1" s="1"/>
  <c r="B84" i="1"/>
  <c r="AM261" i="1"/>
  <c r="AN287" i="1"/>
  <c r="AM288" i="1" s="1"/>
  <c r="AN288" i="1"/>
  <c r="W17" i="1" s="1"/>
  <c r="P75" i="1"/>
  <c r="B64" i="1"/>
  <c r="A74" i="1" s="1"/>
  <c r="N35" i="1"/>
  <c r="AN314" i="1"/>
  <c r="W18" i="1" s="1"/>
  <c r="U10" i="1" s="1"/>
  <c r="AN313" i="1"/>
  <c r="AM314" i="1" s="1"/>
  <c r="E331" i="1"/>
  <c r="B313" i="1"/>
  <c r="A314" i="1" s="1"/>
  <c r="B314" i="1"/>
  <c r="S18" i="1" s="1"/>
  <c r="Q10" i="1" s="1"/>
  <c r="F10" i="1" l="1"/>
  <c r="G11" i="1"/>
  <c r="R11" i="1"/>
  <c r="V11" i="1"/>
  <c r="C84" i="1"/>
  <c r="C83" i="1"/>
  <c r="AR332" i="1"/>
  <c r="AS332" i="1" s="1"/>
  <c r="AT332" i="1" s="1"/>
  <c r="AO85" i="1"/>
  <c r="AR85" i="1" s="1"/>
  <c r="AS85" i="1" s="1"/>
  <c r="AT85" i="1" s="1"/>
  <c r="AV80" i="1"/>
  <c r="AV78" i="1"/>
  <c r="AV79" i="1" s="1"/>
  <c r="AU79" i="1"/>
  <c r="AU80" i="1" s="1"/>
  <c r="AQ86" i="1"/>
  <c r="AW77" i="1"/>
  <c r="AZ72" i="1"/>
  <c r="AS68" i="1" s="1"/>
  <c r="AR76" i="1"/>
  <c r="AW78" i="1"/>
  <c r="AR75" i="1"/>
  <c r="I301" i="1"/>
  <c r="I302" i="1" s="1"/>
  <c r="K299" i="1"/>
  <c r="C307" i="1"/>
  <c r="F307" i="1" s="1"/>
  <c r="G307" i="1" s="1"/>
  <c r="H307" i="1" s="1"/>
  <c r="N294" i="1"/>
  <c r="G290" i="1" s="1"/>
  <c r="E308" i="1"/>
  <c r="J302" i="1"/>
  <c r="J300" i="1"/>
  <c r="J301" i="1" s="1"/>
  <c r="F298" i="1"/>
  <c r="K300" i="1"/>
  <c r="F297" i="1"/>
  <c r="D305" i="1"/>
  <c r="E305" i="1" s="1"/>
  <c r="A39" i="1"/>
  <c r="B66" i="1"/>
  <c r="D17" i="1" s="1"/>
  <c r="B10" i="1" s="1"/>
  <c r="B65" i="1"/>
  <c r="A66" i="1" s="1"/>
  <c r="AP305" i="1"/>
  <c r="AQ305" i="1" s="1"/>
  <c r="AP109" i="1"/>
  <c r="AQ109" i="1" s="1"/>
  <c r="AQ112" i="1"/>
  <c r="AV104" i="1"/>
  <c r="AV105" i="1" s="1"/>
  <c r="AU105" i="1"/>
  <c r="AU106" i="1" s="1"/>
  <c r="AO111" i="1"/>
  <c r="AR111" i="1" s="1"/>
  <c r="AS111" i="1" s="1"/>
  <c r="AT111" i="1" s="1"/>
  <c r="AV106" i="1"/>
  <c r="AW103" i="1"/>
  <c r="AR102" i="1"/>
  <c r="BA34" i="1" s="1"/>
  <c r="AW104" i="1"/>
  <c r="AR101" i="1"/>
  <c r="F332" i="1"/>
  <c r="G332" i="1" s="1"/>
  <c r="H332" i="1" s="1"/>
  <c r="AQ84" i="1"/>
  <c r="D306" i="1"/>
  <c r="E112" i="1"/>
  <c r="C111" i="1"/>
  <c r="F111" i="1" s="1"/>
  <c r="G111" i="1" s="1"/>
  <c r="H111" i="1" s="1"/>
  <c r="J106" i="1"/>
  <c r="J104" i="1"/>
  <c r="J105" i="1" s="1"/>
  <c r="I105" i="1"/>
  <c r="I106" i="1" s="1"/>
  <c r="K103" i="1"/>
  <c r="F102" i="1"/>
  <c r="O34" i="1" s="1"/>
  <c r="F101" i="1"/>
  <c r="K104" i="1"/>
  <c r="I327" i="1"/>
  <c r="I328" i="1" s="1"/>
  <c r="K325" i="1"/>
  <c r="E334" i="1"/>
  <c r="C333" i="1"/>
  <c r="F333" i="1" s="1"/>
  <c r="G333" i="1" s="1"/>
  <c r="H333" i="1" s="1"/>
  <c r="J328" i="1"/>
  <c r="J326" i="1"/>
  <c r="J327" i="1" s="1"/>
  <c r="F324" i="1"/>
  <c r="O256" i="1" s="1"/>
  <c r="K326" i="1"/>
  <c r="F323" i="1"/>
  <c r="AW299" i="1"/>
  <c r="AZ294" i="1"/>
  <c r="AS290" i="1" s="1"/>
  <c r="AO307" i="1"/>
  <c r="AR307" i="1" s="1"/>
  <c r="AS307" i="1" s="1"/>
  <c r="AT307" i="1" s="1"/>
  <c r="AV302" i="1"/>
  <c r="AV300" i="1"/>
  <c r="AV301" i="1" s="1"/>
  <c r="AU301" i="1"/>
  <c r="AU302" i="1" s="1"/>
  <c r="AQ308" i="1"/>
  <c r="AR298" i="1"/>
  <c r="AW300" i="1"/>
  <c r="AW301" i="1" s="1"/>
  <c r="AR297" i="1"/>
  <c r="AV328" i="1"/>
  <c r="AW325" i="1"/>
  <c r="AQ334" i="1"/>
  <c r="AV326" i="1"/>
  <c r="AV327" i="1" s="1"/>
  <c r="AU327" i="1"/>
  <c r="AU328" i="1" s="1"/>
  <c r="AO333" i="1"/>
  <c r="AR333" i="1" s="1"/>
  <c r="AS333" i="1" s="1"/>
  <c r="AT333" i="1" s="1"/>
  <c r="AR324" i="1"/>
  <c r="BA256" i="1" s="1"/>
  <c r="AW326" i="1"/>
  <c r="AR323" i="1"/>
  <c r="F331" i="1"/>
  <c r="G331" i="1" s="1"/>
  <c r="H331" i="1" s="1"/>
  <c r="AP306" i="1"/>
  <c r="AQ306" i="1" s="1"/>
  <c r="F109" i="1"/>
  <c r="G109" i="1" s="1"/>
  <c r="H109" i="1" s="1"/>
  <c r="AP83" i="1"/>
  <c r="AQ83" i="1" s="1"/>
  <c r="AP110" i="1"/>
  <c r="AR331" i="1"/>
  <c r="AS331" i="1" s="1"/>
  <c r="AT331" i="1" s="1"/>
  <c r="F110" i="1"/>
  <c r="G110" i="1" s="1"/>
  <c r="H110" i="1" s="1"/>
  <c r="AW79" i="1" l="1"/>
  <c r="AW327" i="1"/>
  <c r="C11" i="1"/>
  <c r="K327" i="1"/>
  <c r="BA259" i="1"/>
  <c r="AS289" i="1"/>
  <c r="AO263" i="1" s="1"/>
  <c r="K105" i="1"/>
  <c r="AR109" i="1"/>
  <c r="F305" i="1"/>
  <c r="G305" i="1" s="1"/>
  <c r="H305" i="1" s="1"/>
  <c r="N256" i="1"/>
  <c r="M256" i="1"/>
  <c r="B259" i="1"/>
  <c r="AY35" i="1"/>
  <c r="AZ37" i="1"/>
  <c r="AY257" i="1"/>
  <c r="AZ259" i="1"/>
  <c r="AN259" i="1"/>
  <c r="O37" i="1"/>
  <c r="P33" i="1" s="1"/>
  <c r="G67" i="1"/>
  <c r="C41" i="1" s="1"/>
  <c r="AS109" i="1"/>
  <c r="AT109" i="1" s="1"/>
  <c r="D84" i="1"/>
  <c r="AR306" i="1"/>
  <c r="AS306" i="1" s="1"/>
  <c r="AT306" i="1" s="1"/>
  <c r="AR83" i="1"/>
  <c r="AS83" i="1" s="1"/>
  <c r="AT83" i="1" s="1"/>
  <c r="BB255" i="1"/>
  <c r="AQ110" i="1"/>
  <c r="AR110" i="1" s="1"/>
  <c r="BA37" i="1"/>
  <c r="BB33" i="1" s="1"/>
  <c r="AS67" i="1"/>
  <c r="AO41" i="1" s="1"/>
  <c r="C85" i="1"/>
  <c r="F85" i="1" s="1"/>
  <c r="G85" i="1" s="1"/>
  <c r="H85" i="1" s="1"/>
  <c r="N72" i="1"/>
  <c r="G68" i="1" s="1"/>
  <c r="E86" i="1"/>
  <c r="J80" i="1"/>
  <c r="J78" i="1"/>
  <c r="J79" i="1" s="1"/>
  <c r="I79" i="1"/>
  <c r="I80" i="1" s="1"/>
  <c r="K77" i="1"/>
  <c r="F76" i="1"/>
  <c r="K78" i="1"/>
  <c r="F75" i="1"/>
  <c r="M257" i="1"/>
  <c r="S348" i="1" s="1"/>
  <c r="N259" i="1"/>
  <c r="AZ34" i="1"/>
  <c r="AY34" i="1"/>
  <c r="AZ256" i="1"/>
  <c r="AY256" i="1"/>
  <c r="O259" i="1"/>
  <c r="P255" i="1" s="1"/>
  <c r="G289" i="1"/>
  <c r="C263" i="1" s="1"/>
  <c r="AW105" i="1"/>
  <c r="E306" i="1"/>
  <c r="AR305" i="1"/>
  <c r="AS305" i="1" s="1"/>
  <c r="AT305" i="1" s="1"/>
  <c r="K301" i="1"/>
  <c r="AS66" i="1"/>
  <c r="AN41" i="1" s="1"/>
  <c r="AN37" i="1"/>
  <c r="AM37" i="1"/>
  <c r="D83" i="1"/>
  <c r="E83" i="1" s="1"/>
  <c r="AR84" i="1"/>
  <c r="AS84" i="1" s="1"/>
  <c r="AT84" i="1" s="1"/>
  <c r="BB254" i="1" l="1"/>
  <c r="BE345" i="1" s="1"/>
  <c r="BB32" i="1"/>
  <c r="BE123" i="1" s="1"/>
  <c r="AM259" i="1"/>
  <c r="W20" i="1" s="1"/>
  <c r="AS288" i="1"/>
  <c r="AN263" i="1" s="1"/>
  <c r="AP263" i="1" s="1"/>
  <c r="K79" i="1"/>
  <c r="S346" i="1"/>
  <c r="BE124" i="1"/>
  <c r="H41" i="1"/>
  <c r="I41" i="1" s="1"/>
  <c r="L255" i="1"/>
  <c r="S19" i="1"/>
  <c r="AX36" i="1"/>
  <c r="AY33" i="1"/>
  <c r="H20" i="1"/>
  <c r="H263" i="1"/>
  <c r="I263" i="1" s="1"/>
  <c r="E13" i="1"/>
  <c r="M35" i="1"/>
  <c r="N37" i="1"/>
  <c r="G66" i="1"/>
  <c r="B41" i="1" s="1"/>
  <c r="D41" i="1" s="1"/>
  <c r="A37" i="1"/>
  <c r="B37" i="1"/>
  <c r="AS110" i="1"/>
  <c r="AT110" i="1" s="1"/>
  <c r="BE126" i="1"/>
  <c r="BC125" i="1" s="1"/>
  <c r="P13" i="1"/>
  <c r="AT263" i="1"/>
  <c r="AU263" i="1" s="1"/>
  <c r="AX33" i="1"/>
  <c r="H19" i="1"/>
  <c r="S124" i="1"/>
  <c r="G288" i="1"/>
  <c r="B263" i="1" s="1"/>
  <c r="D263" i="1" s="1"/>
  <c r="P254" i="1"/>
  <c r="S345" i="1" s="1"/>
  <c r="Q347" i="1" s="1"/>
  <c r="F83" i="1"/>
  <c r="G83" i="1" s="1"/>
  <c r="H83" i="1" s="1"/>
  <c r="T13" i="1"/>
  <c r="N34" i="1"/>
  <c r="M34" i="1"/>
  <c r="AT41" i="1"/>
  <c r="AU41" i="1" s="1"/>
  <c r="AP41" i="1"/>
  <c r="BE346" i="1"/>
  <c r="BB256" i="1"/>
  <c r="BB258" i="1" s="1"/>
  <c r="F306" i="1"/>
  <c r="G306" i="1" s="1"/>
  <c r="H306" i="1" s="1"/>
  <c r="AX255" i="1"/>
  <c r="W19" i="1"/>
  <c r="BE348" i="1"/>
  <c r="E84" i="1"/>
  <c r="F84" i="1" s="1"/>
  <c r="A259" i="1"/>
  <c r="P32" i="1" l="1"/>
  <c r="S123" i="1" s="1"/>
  <c r="BB34" i="1"/>
  <c r="F11" i="1"/>
  <c r="E11" i="1" s="1"/>
  <c r="BC347" i="1"/>
  <c r="BB257" i="1"/>
  <c r="AX258" i="1"/>
  <c r="U11" i="1"/>
  <c r="T11" i="1" s="1"/>
  <c r="H22" i="1"/>
  <c r="H11" i="1"/>
  <c r="G10" i="1" s="1"/>
  <c r="H9" i="1" s="1"/>
  <c r="H10" i="1"/>
  <c r="G9" i="1" s="1"/>
  <c r="AY255" i="1"/>
  <c r="W11" i="1"/>
  <c r="V10" i="1" s="1"/>
  <c r="W9" i="1" s="1"/>
  <c r="W10" i="1"/>
  <c r="Q345" i="1"/>
  <c r="M259" i="1"/>
  <c r="BB259" i="1"/>
  <c r="T15" i="1" s="1"/>
  <c r="BC123" i="1"/>
  <c r="AY37" i="1"/>
  <c r="BC345" i="1"/>
  <c r="AY259" i="1"/>
  <c r="L258" i="1"/>
  <c r="M255" i="1"/>
  <c r="S20" i="1"/>
  <c r="Q11" i="1" s="1"/>
  <c r="P11" i="1" s="1"/>
  <c r="A13" i="1"/>
  <c r="D19" i="1"/>
  <c r="L33" i="1"/>
  <c r="S126" i="1"/>
  <c r="W22" i="1"/>
  <c r="P256" i="1"/>
  <c r="P257" i="1" s="1"/>
  <c r="G84" i="1"/>
  <c r="H84" i="1" s="1"/>
  <c r="D22" i="1"/>
  <c r="D20" i="1"/>
  <c r="L36" i="1"/>
  <c r="M33" i="1"/>
  <c r="B11" i="1" l="1"/>
  <c r="A11" i="1" s="1"/>
  <c r="P34" i="1"/>
  <c r="P35" i="1" s="1"/>
  <c r="Q125" i="1"/>
  <c r="M37" i="1" s="1"/>
  <c r="BB36" i="1"/>
  <c r="BB35" i="1"/>
  <c r="P36" i="1"/>
  <c r="P37" i="1" s="1"/>
  <c r="A15" i="1" s="1"/>
  <c r="D11" i="1"/>
  <c r="C10" i="1" s="1"/>
  <c r="D10" i="1"/>
  <c r="S11" i="1"/>
  <c r="R10" i="1" s="1"/>
  <c r="S22" i="1"/>
  <c r="S10" i="1"/>
  <c r="P258" i="1"/>
  <c r="P259" i="1" s="1"/>
  <c r="P15" i="1" s="1"/>
  <c r="BV191" i="1"/>
  <c r="BC191" i="1"/>
  <c r="BC146" i="1"/>
  <c r="BV123" i="1"/>
  <c r="BD118" i="1"/>
  <c r="BD119" i="1" s="1"/>
  <c r="BD121" i="1" s="1"/>
  <c r="BB119" i="1" s="1"/>
  <c r="BC133" i="1" s="1"/>
  <c r="BV413" i="1"/>
  <c r="BC413" i="1"/>
  <c r="BC368" i="1"/>
  <c r="BD340" i="1"/>
  <c r="BD341" i="1" s="1"/>
  <c r="BD343" i="1" s="1"/>
  <c r="BB341" i="1" s="1"/>
  <c r="BC355" i="1" s="1"/>
  <c r="BV345" i="1"/>
  <c r="AJ413" i="1"/>
  <c r="Q413" i="1"/>
  <c r="Q368" i="1"/>
  <c r="R340" i="1"/>
  <c r="R341" i="1" s="1"/>
  <c r="R343" i="1" s="1"/>
  <c r="P341" i="1" s="1"/>
  <c r="Q355" i="1" s="1"/>
  <c r="AJ345" i="1"/>
  <c r="Q123" i="1" l="1"/>
  <c r="Q146" i="1" s="1"/>
  <c r="BB37" i="1"/>
  <c r="E15" i="1" s="1"/>
  <c r="AT354" i="1"/>
  <c r="AT355" i="1" s="1"/>
  <c r="BA347" i="1" s="1"/>
  <c r="BC354" i="1" s="1"/>
  <c r="BB355" i="1" s="1"/>
  <c r="AM340" i="1" s="1"/>
  <c r="AZ354" i="1"/>
  <c r="N354" i="1"/>
  <c r="H354" i="1"/>
  <c r="H355" i="1" s="1"/>
  <c r="O347" i="1" s="1"/>
  <c r="Q354" i="1" s="1"/>
  <c r="P355" i="1" s="1"/>
  <c r="A340" i="1" s="1"/>
  <c r="AZ132" i="1"/>
  <c r="AT132" i="1"/>
  <c r="AT133" i="1" s="1"/>
  <c r="BA125" i="1" s="1"/>
  <c r="BC132" i="1" s="1"/>
  <c r="BB133" i="1" s="1"/>
  <c r="AM118" i="1" s="1"/>
  <c r="Q436" i="1"/>
  <c r="R408" i="1"/>
  <c r="R409" i="1" s="1"/>
  <c r="R411" i="1" s="1"/>
  <c r="P409" i="1" s="1"/>
  <c r="Q423" i="1" s="1"/>
  <c r="BC436" i="1"/>
  <c r="BD408" i="1"/>
  <c r="BD409" i="1" s="1"/>
  <c r="BD411" i="1" s="1"/>
  <c r="BB409" i="1" s="1"/>
  <c r="BC423" i="1" s="1"/>
  <c r="BC214" i="1"/>
  <c r="BD186" i="1"/>
  <c r="BD187" i="1" s="1"/>
  <c r="BD189" i="1" s="1"/>
  <c r="BB187" i="1" s="1"/>
  <c r="BC201" i="1" s="1"/>
  <c r="AJ368" i="1"/>
  <c r="AK340" i="1"/>
  <c r="AK341" i="1" s="1"/>
  <c r="AK343" i="1" s="1"/>
  <c r="AI341" i="1" s="1"/>
  <c r="AJ355" i="1" s="1"/>
  <c r="BV368" i="1"/>
  <c r="BW340" i="1"/>
  <c r="BW341" i="1" s="1"/>
  <c r="BW343" i="1" s="1"/>
  <c r="BU341" i="1" s="1"/>
  <c r="BV355" i="1" s="1"/>
  <c r="AJ436" i="1"/>
  <c r="AK408" i="1"/>
  <c r="AK409" i="1" s="1"/>
  <c r="AK411" i="1" s="1"/>
  <c r="AI409" i="1" s="1"/>
  <c r="AJ423" i="1" s="1"/>
  <c r="BV436" i="1"/>
  <c r="BW408" i="1"/>
  <c r="BW409" i="1" s="1"/>
  <c r="BW411" i="1" s="1"/>
  <c r="BU409" i="1" s="1"/>
  <c r="BV423" i="1" s="1"/>
  <c r="BV214" i="1"/>
  <c r="BW186" i="1"/>
  <c r="BW187" i="1" s="1"/>
  <c r="BW189" i="1" s="1"/>
  <c r="BU187" i="1" s="1"/>
  <c r="BV201" i="1" s="1"/>
  <c r="BV146" i="1"/>
  <c r="BW118" i="1"/>
  <c r="BW119" i="1" s="1"/>
  <c r="BW121" i="1" s="1"/>
  <c r="BU119" i="1" s="1"/>
  <c r="BV133" i="1" s="1"/>
  <c r="Q393" i="1"/>
  <c r="R363" i="1"/>
  <c r="R364" i="1" s="1"/>
  <c r="R366" i="1" s="1"/>
  <c r="P364" i="1" s="1"/>
  <c r="Q378" i="1" s="1"/>
  <c r="Q191" i="1"/>
  <c r="AJ191" i="1"/>
  <c r="AJ123" i="1"/>
  <c r="R118" i="1"/>
  <c r="R119" i="1" s="1"/>
  <c r="R121" i="1" s="1"/>
  <c r="P119" i="1" s="1"/>
  <c r="Q133" i="1" s="1"/>
  <c r="BC393" i="1"/>
  <c r="BD363" i="1"/>
  <c r="BD364" i="1" s="1"/>
  <c r="BD366" i="1" s="1"/>
  <c r="BB364" i="1" s="1"/>
  <c r="BC378" i="1" s="1"/>
  <c r="BC171" i="1"/>
  <c r="BD141" i="1"/>
  <c r="BD142" i="1" s="1"/>
  <c r="BD144" i="1" s="1"/>
  <c r="BB142" i="1" s="1"/>
  <c r="BC156" i="1" s="1"/>
  <c r="H422" i="1" l="1"/>
  <c r="H423" i="1" s="1"/>
  <c r="O415" i="1" s="1"/>
  <c r="Q422" i="1" s="1"/>
  <c r="P423" i="1" s="1"/>
  <c r="A408" i="1" s="1"/>
  <c r="N422" i="1"/>
  <c r="B340" i="1"/>
  <c r="C340" i="1" s="1"/>
  <c r="D340" i="1" s="1"/>
  <c r="E340" i="1" s="1"/>
  <c r="F340" i="1" s="1"/>
  <c r="AT377" i="1"/>
  <c r="AT378" i="1" s="1"/>
  <c r="AZ377" i="1"/>
  <c r="BS422" i="1"/>
  <c r="BM422" i="1"/>
  <c r="BM423" i="1" s="1"/>
  <c r="BT415" i="1" s="1"/>
  <c r="BV422" i="1" s="1"/>
  <c r="BU423" i="1" s="1"/>
  <c r="BF408" i="1" s="1"/>
  <c r="BS354" i="1"/>
  <c r="BM354" i="1"/>
  <c r="BM355" i="1" s="1"/>
  <c r="BT347" i="1" s="1"/>
  <c r="BV354" i="1" s="1"/>
  <c r="BU355" i="1" s="1"/>
  <c r="BF340" i="1" s="1"/>
  <c r="AN118" i="1"/>
  <c r="AO118" i="1" s="1"/>
  <c r="AP118" i="1" s="1"/>
  <c r="AQ118" i="1" s="1"/>
  <c r="AR118" i="1" s="1"/>
  <c r="BS200" i="1"/>
  <c r="BM200" i="1"/>
  <c r="BM201" i="1" s="1"/>
  <c r="BT193" i="1" s="1"/>
  <c r="BV200" i="1" s="1"/>
  <c r="BU201" i="1" s="1"/>
  <c r="BF186" i="1" s="1"/>
  <c r="AZ200" i="1"/>
  <c r="AT200" i="1"/>
  <c r="AT201" i="1" s="1"/>
  <c r="BA193" i="1" s="1"/>
  <c r="BC200" i="1" s="1"/>
  <c r="BB201" i="1" s="1"/>
  <c r="AM186" i="1" s="1"/>
  <c r="AN340" i="1"/>
  <c r="AO340" i="1" s="1"/>
  <c r="AP340" i="1" s="1"/>
  <c r="AQ340" i="1" s="1"/>
  <c r="AR340" i="1" s="1"/>
  <c r="Q214" i="1"/>
  <c r="R186" i="1"/>
  <c r="R187" i="1" s="1"/>
  <c r="R189" i="1" s="1"/>
  <c r="P187" i="1" s="1"/>
  <c r="Q201" i="1" s="1"/>
  <c r="BV461" i="1"/>
  <c r="BW431" i="1"/>
  <c r="BW432" i="1" s="1"/>
  <c r="BW434" i="1" s="1"/>
  <c r="BU432" i="1" s="1"/>
  <c r="BV446" i="1" s="1"/>
  <c r="AG354" i="1"/>
  <c r="AA354" i="1"/>
  <c r="AA355" i="1" s="1"/>
  <c r="AH347" i="1" s="1"/>
  <c r="AJ354" i="1" s="1"/>
  <c r="AI355" i="1" s="1"/>
  <c r="T340" i="1" s="1"/>
  <c r="BC239" i="1"/>
  <c r="BD209" i="1"/>
  <c r="BD210" i="1" s="1"/>
  <c r="BD212" i="1" s="1"/>
  <c r="BB210" i="1" s="1"/>
  <c r="BC224" i="1" s="1"/>
  <c r="N132" i="1"/>
  <c r="H132" i="1"/>
  <c r="H133" i="1" s="1"/>
  <c r="O125" i="1" s="1"/>
  <c r="Q132" i="1" s="1"/>
  <c r="P133" i="1" s="1"/>
  <c r="A118" i="1" s="1"/>
  <c r="BS132" i="1"/>
  <c r="BM132" i="1"/>
  <c r="BM133" i="1" s="1"/>
  <c r="BT125" i="1" s="1"/>
  <c r="BV132" i="1" s="1"/>
  <c r="BU133" i="1" s="1"/>
  <c r="BF118" i="1" s="1"/>
  <c r="AJ146" i="1"/>
  <c r="AK118" i="1"/>
  <c r="AK119" i="1" s="1"/>
  <c r="AK121" i="1" s="1"/>
  <c r="AI119" i="1" s="1"/>
  <c r="AJ133" i="1" s="1"/>
  <c r="BV239" i="1"/>
  <c r="BW209" i="1"/>
  <c r="BW210" i="1" s="1"/>
  <c r="BW212" i="1" s="1"/>
  <c r="BU210" i="1" s="1"/>
  <c r="BV224" i="1" s="1"/>
  <c r="AJ393" i="1"/>
  <c r="AK363" i="1"/>
  <c r="AK364" i="1" s="1"/>
  <c r="AK366" i="1" s="1"/>
  <c r="AI364" i="1" s="1"/>
  <c r="AJ378" i="1" s="1"/>
  <c r="AZ155" i="1"/>
  <c r="AT155" i="1"/>
  <c r="AT156" i="1" s="1"/>
  <c r="H377" i="1"/>
  <c r="H378" i="1" s="1"/>
  <c r="N377" i="1"/>
  <c r="BV171" i="1"/>
  <c r="BW141" i="1"/>
  <c r="BW142" i="1" s="1"/>
  <c r="BW144" i="1" s="1"/>
  <c r="BU142" i="1" s="1"/>
  <c r="BV156" i="1" s="1"/>
  <c r="AG422" i="1"/>
  <c r="AA422" i="1"/>
  <c r="AA423" i="1" s="1"/>
  <c r="AH415" i="1" s="1"/>
  <c r="AJ422" i="1" s="1"/>
  <c r="AI423" i="1" s="1"/>
  <c r="T408" i="1" s="1"/>
  <c r="BV393" i="1"/>
  <c r="BW363" i="1"/>
  <c r="BW364" i="1" s="1"/>
  <c r="BW366" i="1" s="1"/>
  <c r="BU364" i="1" s="1"/>
  <c r="BV378" i="1" s="1"/>
  <c r="AZ422" i="1"/>
  <c r="AT422" i="1"/>
  <c r="AT423" i="1" s="1"/>
  <c r="BA415" i="1" s="1"/>
  <c r="BC422" i="1" s="1"/>
  <c r="BB423" i="1" s="1"/>
  <c r="AM408" i="1" s="1"/>
  <c r="Q461" i="1"/>
  <c r="R431" i="1"/>
  <c r="R432" i="1" s="1"/>
  <c r="R434" i="1" s="1"/>
  <c r="P432" i="1" s="1"/>
  <c r="Q446" i="1" s="1"/>
  <c r="BD388" i="1"/>
  <c r="BD389" i="1" s="1"/>
  <c r="BD391" i="1" s="1"/>
  <c r="BB389" i="1" s="1"/>
  <c r="BC403" i="1" s="1"/>
  <c r="Q171" i="1"/>
  <c r="R141" i="1"/>
  <c r="R142" i="1" s="1"/>
  <c r="R144" i="1" s="1"/>
  <c r="P142" i="1" s="1"/>
  <c r="Q156" i="1" s="1"/>
  <c r="BD166" i="1"/>
  <c r="BD167" i="1" s="1"/>
  <c r="BD169" i="1" s="1"/>
  <c r="BB167" i="1" s="1"/>
  <c r="BC181" i="1" s="1"/>
  <c r="AJ214" i="1"/>
  <c r="AK186" i="1"/>
  <c r="AK187" i="1" s="1"/>
  <c r="AK189" i="1" s="1"/>
  <c r="AI187" i="1" s="1"/>
  <c r="AJ201" i="1" s="1"/>
  <c r="R388" i="1"/>
  <c r="R389" i="1" s="1"/>
  <c r="R391" i="1" s="1"/>
  <c r="P389" i="1" s="1"/>
  <c r="Q403" i="1" s="1"/>
  <c r="AJ461" i="1"/>
  <c r="AK431" i="1"/>
  <c r="AK432" i="1" s="1"/>
  <c r="AK434" i="1" s="1"/>
  <c r="AI432" i="1" s="1"/>
  <c r="AJ446" i="1" s="1"/>
  <c r="BC461" i="1"/>
  <c r="BD431" i="1"/>
  <c r="BD432" i="1" s="1"/>
  <c r="BD434" i="1" s="1"/>
  <c r="BB432" i="1" s="1"/>
  <c r="BC446" i="1" s="1"/>
  <c r="N155" i="1" l="1"/>
  <c r="H155" i="1"/>
  <c r="H156" i="1" s="1"/>
  <c r="U408" i="1"/>
  <c r="V408" i="1" s="1"/>
  <c r="W408" i="1" s="1"/>
  <c r="X408" i="1" s="1"/>
  <c r="Y408" i="1" s="1"/>
  <c r="BS445" i="1"/>
  <c r="BM445" i="1"/>
  <c r="BM446" i="1" s="1"/>
  <c r="BG186" i="1"/>
  <c r="BH186" i="1" s="1"/>
  <c r="BI186" i="1" s="1"/>
  <c r="BJ186" i="1" s="1"/>
  <c r="BK186" i="1" s="1"/>
  <c r="AA132" i="1"/>
  <c r="AA133" i="1" s="1"/>
  <c r="AH125" i="1" s="1"/>
  <c r="AJ132" i="1" s="1"/>
  <c r="AI133" i="1" s="1"/>
  <c r="T118" i="1" s="1"/>
  <c r="AG132" i="1"/>
  <c r="B118" i="1"/>
  <c r="C118" i="1" s="1"/>
  <c r="D118" i="1" s="1"/>
  <c r="E118" i="1" s="1"/>
  <c r="F118" i="1" s="1"/>
  <c r="BG408" i="1"/>
  <c r="BH408" i="1" s="1"/>
  <c r="BI408" i="1" s="1"/>
  <c r="BJ408" i="1" s="1"/>
  <c r="BK408" i="1" s="1"/>
  <c r="BS377" i="1"/>
  <c r="BM377" i="1"/>
  <c r="BM378" i="1" s="1"/>
  <c r="BS155" i="1"/>
  <c r="BM155" i="1"/>
  <c r="BM156" i="1" s="1"/>
  <c r="N200" i="1"/>
  <c r="H200" i="1"/>
  <c r="H201" i="1" s="1"/>
  <c r="O193" i="1" s="1"/>
  <c r="Q200" i="1" s="1"/>
  <c r="P201" i="1" s="1"/>
  <c r="A186" i="1" s="1"/>
  <c r="AT180" i="1"/>
  <c r="AT181" i="1" s="1"/>
  <c r="AZ180" i="1"/>
  <c r="BS223" i="1"/>
  <c r="BM223" i="1"/>
  <c r="BM224" i="1" s="1"/>
  <c r="BG118" i="1"/>
  <c r="BH118" i="1" s="1"/>
  <c r="BI118" i="1" s="1"/>
  <c r="BJ118" i="1" s="1"/>
  <c r="BK118" i="1" s="1"/>
  <c r="AT223" i="1"/>
  <c r="AT224" i="1" s="1"/>
  <c r="AZ223" i="1"/>
  <c r="BG340" i="1"/>
  <c r="BH340" i="1" s="1"/>
  <c r="BI340" i="1" s="1"/>
  <c r="BJ340" i="1" s="1"/>
  <c r="BK340" i="1" s="1"/>
  <c r="B408" i="1"/>
  <c r="C408" i="1" s="1"/>
  <c r="D408" i="1" s="1"/>
  <c r="E408" i="1" s="1"/>
  <c r="F408" i="1" s="1"/>
  <c r="H402" i="1"/>
  <c r="H403" i="1" s="1"/>
  <c r="N402" i="1"/>
  <c r="N445" i="1"/>
  <c r="H445" i="1"/>
  <c r="H446" i="1" s="1"/>
  <c r="AN408" i="1"/>
  <c r="AO408" i="1" s="1"/>
  <c r="AP408" i="1" s="1"/>
  <c r="AQ408" i="1" s="1"/>
  <c r="AR408" i="1" s="1"/>
  <c r="R456" i="1"/>
  <c r="R457" i="1" s="1"/>
  <c r="R459" i="1" s="1"/>
  <c r="P457" i="1" s="1"/>
  <c r="Q471" i="1" s="1"/>
  <c r="BW166" i="1"/>
  <c r="BW167" i="1" s="1"/>
  <c r="BW169" i="1" s="1"/>
  <c r="BU167" i="1" s="1"/>
  <c r="BV181" i="1" s="1"/>
  <c r="BA148" i="1"/>
  <c r="BC155" i="1" s="1"/>
  <c r="BB156" i="1" s="1"/>
  <c r="AM141" i="1" s="1"/>
  <c r="BW234" i="1"/>
  <c r="BW235" i="1" s="1"/>
  <c r="BW237" i="1" s="1"/>
  <c r="BU235" i="1" s="1"/>
  <c r="BV249" i="1" s="1"/>
  <c r="BD234" i="1"/>
  <c r="BD235" i="1" s="1"/>
  <c r="BD237" i="1" s="1"/>
  <c r="BB235" i="1" s="1"/>
  <c r="BC249" i="1" s="1"/>
  <c r="AS118" i="1"/>
  <c r="AT118" i="1" s="1"/>
  <c r="AU118" i="1" s="1"/>
  <c r="AV118" i="1"/>
  <c r="BA370" i="1"/>
  <c r="BC377" i="1" s="1"/>
  <c r="BB378" i="1" s="1"/>
  <c r="AM363" i="1" s="1"/>
  <c r="AZ445" i="1"/>
  <c r="AT445" i="1"/>
  <c r="AT446" i="1" s="1"/>
  <c r="AK456" i="1"/>
  <c r="AK457" i="1" s="1"/>
  <c r="AK459" i="1" s="1"/>
  <c r="AI457" i="1" s="1"/>
  <c r="AJ471" i="1" s="1"/>
  <c r="AT402" i="1"/>
  <c r="AT403" i="1" s="1"/>
  <c r="AZ402" i="1"/>
  <c r="AK388" i="1"/>
  <c r="AK389" i="1" s="1"/>
  <c r="AK391" i="1" s="1"/>
  <c r="AI389" i="1" s="1"/>
  <c r="AJ403" i="1" s="1"/>
  <c r="Q239" i="1"/>
  <c r="R209" i="1"/>
  <c r="R210" i="1" s="1"/>
  <c r="R212" i="1" s="1"/>
  <c r="P210" i="1" s="1"/>
  <c r="Q224" i="1" s="1"/>
  <c r="AG445" i="1"/>
  <c r="AA445" i="1"/>
  <c r="AA446" i="1" s="1"/>
  <c r="AA200" i="1"/>
  <c r="AA201" i="1" s="1"/>
  <c r="AH193" i="1" s="1"/>
  <c r="AJ200" i="1" s="1"/>
  <c r="AI201" i="1" s="1"/>
  <c r="T186" i="1" s="1"/>
  <c r="AG200" i="1"/>
  <c r="BD456" i="1"/>
  <c r="BD457" i="1" s="1"/>
  <c r="BD459" i="1" s="1"/>
  <c r="BB457" i="1" s="1"/>
  <c r="BC471" i="1" s="1"/>
  <c r="AJ239" i="1"/>
  <c r="AK209" i="1"/>
  <c r="AK210" i="1" s="1"/>
  <c r="AK212" i="1" s="1"/>
  <c r="AI210" i="1" s="1"/>
  <c r="AJ224" i="1" s="1"/>
  <c r="BW388" i="1"/>
  <c r="BW389" i="1" s="1"/>
  <c r="BW391" i="1" s="1"/>
  <c r="BU389" i="1" s="1"/>
  <c r="BV403" i="1" s="1"/>
  <c r="O370" i="1"/>
  <c r="Q377" i="1" s="1"/>
  <c r="P378" i="1" s="1"/>
  <c r="A363" i="1" s="1"/>
  <c r="BW456" i="1"/>
  <c r="BW457" i="1" s="1"/>
  <c r="BW459" i="1" s="1"/>
  <c r="BU457" i="1" s="1"/>
  <c r="BV471" i="1" s="1"/>
  <c r="AN186" i="1"/>
  <c r="AO186" i="1" s="1"/>
  <c r="AP186" i="1" s="1"/>
  <c r="AQ186" i="1" s="1"/>
  <c r="AR186" i="1" s="1"/>
  <c r="J340" i="1"/>
  <c r="G340" i="1"/>
  <c r="H340" i="1" s="1"/>
  <c r="I340" i="1" s="1"/>
  <c r="R166" i="1"/>
  <c r="R167" i="1" s="1"/>
  <c r="R169" i="1" s="1"/>
  <c r="P167" i="1" s="1"/>
  <c r="Q181" i="1" s="1"/>
  <c r="AG377" i="1"/>
  <c r="AA377" i="1"/>
  <c r="AA378" i="1" s="1"/>
  <c r="AK141" i="1"/>
  <c r="AK142" i="1" s="1"/>
  <c r="AK144" i="1" s="1"/>
  <c r="AI142" i="1" s="1"/>
  <c r="AJ156" i="1" s="1"/>
  <c r="AJ171" i="1"/>
  <c r="U340" i="1"/>
  <c r="V340" i="1" s="1"/>
  <c r="W340" i="1" s="1"/>
  <c r="X340" i="1" s="1"/>
  <c r="Y340" i="1" s="1"/>
  <c r="AV340" i="1"/>
  <c r="AS340" i="1"/>
  <c r="AT340" i="1" s="1"/>
  <c r="AU340" i="1" s="1"/>
  <c r="AW118" i="1" l="1"/>
  <c r="AX118" i="1" s="1"/>
  <c r="AY118" i="1" s="1"/>
  <c r="Q370" i="1"/>
  <c r="BM470" i="1"/>
  <c r="BM471" i="1" s="1"/>
  <c r="BS470" i="1"/>
  <c r="BS248" i="1"/>
  <c r="BM248" i="1"/>
  <c r="BM249" i="1" s="1"/>
  <c r="N470" i="1"/>
  <c r="H470" i="1"/>
  <c r="H471" i="1" s="1"/>
  <c r="AG402" i="1"/>
  <c r="AA402" i="1"/>
  <c r="AA403" i="1" s="1"/>
  <c r="U118" i="1"/>
  <c r="V118" i="1" s="1"/>
  <c r="W118" i="1" s="1"/>
  <c r="X118" i="1" s="1"/>
  <c r="Y118" i="1" s="1"/>
  <c r="N180" i="1"/>
  <c r="H180" i="1"/>
  <c r="H181" i="1" s="1"/>
  <c r="BS402" i="1"/>
  <c r="BM402" i="1"/>
  <c r="BM403" i="1" s="1"/>
  <c r="AT248" i="1"/>
  <c r="AT249" i="1" s="1"/>
  <c r="AZ248" i="1"/>
  <c r="Z340" i="1"/>
  <c r="AA340" i="1" s="1"/>
  <c r="AB340" i="1" s="1"/>
  <c r="AC340" i="1"/>
  <c r="AW340" i="1"/>
  <c r="AX340" i="1" s="1"/>
  <c r="AY340" i="1" s="1"/>
  <c r="AH370" i="1"/>
  <c r="AJ377" i="1" s="1"/>
  <c r="AI378" i="1" s="1"/>
  <c r="T363" i="1" s="1"/>
  <c r="AV408" i="1"/>
  <c r="AS408" i="1"/>
  <c r="AT408" i="1" s="1"/>
  <c r="AU408" i="1" s="1"/>
  <c r="AG155" i="1"/>
  <c r="AA155" i="1"/>
  <c r="AA156" i="1" s="1"/>
  <c r="AZ470" i="1"/>
  <c r="AT470" i="1"/>
  <c r="AT471" i="1" s="1"/>
  <c r="H223" i="1"/>
  <c r="H224" i="1" s="1"/>
  <c r="N223" i="1"/>
  <c r="AA470" i="1"/>
  <c r="AA471" i="1" s="1"/>
  <c r="AG470" i="1"/>
  <c r="AN363" i="1"/>
  <c r="AO363" i="1" s="1"/>
  <c r="AP363" i="1" s="1"/>
  <c r="AQ363" i="1" s="1"/>
  <c r="AR363" i="1" s="1"/>
  <c r="AN141" i="1"/>
  <c r="AO141" i="1" s="1"/>
  <c r="AP141" i="1" s="1"/>
  <c r="AQ141" i="1" s="1"/>
  <c r="AR141" i="1" s="1"/>
  <c r="BL340" i="1"/>
  <c r="BM340" i="1" s="1"/>
  <c r="BN340" i="1" s="1"/>
  <c r="BO340" i="1"/>
  <c r="BL118" i="1"/>
  <c r="BM118" i="1" s="1"/>
  <c r="BN118" i="1" s="1"/>
  <c r="BO118" i="1"/>
  <c r="BT216" i="1"/>
  <c r="BV223" i="1" s="1"/>
  <c r="BU224" i="1" s="1"/>
  <c r="BF209" i="1" s="1"/>
  <c r="BA173" i="1"/>
  <c r="BC180" i="1" s="1"/>
  <c r="BB181" i="1" s="1"/>
  <c r="AM166" i="1" s="1"/>
  <c r="BT370" i="1"/>
  <c r="BV377" i="1" s="1"/>
  <c r="BU378" i="1" s="1"/>
  <c r="BF363" i="1" s="1"/>
  <c r="Z408" i="1"/>
  <c r="AA408" i="1" s="1"/>
  <c r="AB408" i="1" s="1"/>
  <c r="AC408" i="1"/>
  <c r="O148" i="1"/>
  <c r="Q155" i="1" s="1"/>
  <c r="P156" i="1" s="1"/>
  <c r="A141" i="1" s="1"/>
  <c r="AG223" i="1"/>
  <c r="AA223" i="1"/>
  <c r="AA224" i="1" s="1"/>
  <c r="AH438" i="1"/>
  <c r="AJ445" i="1" s="1"/>
  <c r="AI446" i="1" s="1"/>
  <c r="T431" i="1" s="1"/>
  <c r="AK166" i="1"/>
  <c r="AK167" i="1" s="1"/>
  <c r="AK169" i="1" s="1"/>
  <c r="AI167" i="1" s="1"/>
  <c r="AJ181" i="1" s="1"/>
  <c r="K340" i="1"/>
  <c r="L340" i="1" s="1"/>
  <c r="M340" i="1" s="1"/>
  <c r="B363" i="1"/>
  <c r="C363" i="1" s="1"/>
  <c r="D363" i="1" s="1"/>
  <c r="E363" i="1" s="1"/>
  <c r="F363" i="1" s="1"/>
  <c r="R234" i="1"/>
  <c r="R235" i="1" s="1"/>
  <c r="R237" i="1" s="1"/>
  <c r="P235" i="1" s="1"/>
  <c r="Q249" i="1" s="1"/>
  <c r="BA438" i="1"/>
  <c r="BC445" i="1" s="1"/>
  <c r="BB446" i="1" s="1"/>
  <c r="AM431" i="1" s="1"/>
  <c r="BC370" i="1"/>
  <c r="BC148" i="1"/>
  <c r="J408" i="1"/>
  <c r="G408" i="1"/>
  <c r="H408" i="1" s="1"/>
  <c r="I408" i="1" s="1"/>
  <c r="BT148" i="1"/>
  <c r="BV155" i="1" s="1"/>
  <c r="BU156" i="1" s="1"/>
  <c r="BF141" i="1" s="1"/>
  <c r="AV186" i="1"/>
  <c r="AS186" i="1"/>
  <c r="AT186" i="1" s="1"/>
  <c r="AU186" i="1" s="1"/>
  <c r="AK234" i="1"/>
  <c r="AK235" i="1" s="1"/>
  <c r="AK237" i="1" s="1"/>
  <c r="AI235" i="1" s="1"/>
  <c r="AJ249" i="1" s="1"/>
  <c r="U186" i="1"/>
  <c r="V186" i="1" s="1"/>
  <c r="W186" i="1" s="1"/>
  <c r="X186" i="1" s="1"/>
  <c r="Y186" i="1" s="1"/>
  <c r="BA395" i="1"/>
  <c r="BC402" i="1" s="1"/>
  <c r="BB403" i="1" s="1"/>
  <c r="AM388" i="1" s="1"/>
  <c r="AZ118" i="1"/>
  <c r="BA118" i="1" s="1"/>
  <c r="BB118" i="1" s="1"/>
  <c r="BC118" i="1" s="1"/>
  <c r="BS180" i="1"/>
  <c r="BM180" i="1"/>
  <c r="BM181" i="1" s="1"/>
  <c r="O438" i="1"/>
  <c r="Q445" i="1" s="1"/>
  <c r="P446" i="1" s="1"/>
  <c r="A431" i="1" s="1"/>
  <c r="O395" i="1"/>
  <c r="Q402" i="1" s="1"/>
  <c r="P403" i="1" s="1"/>
  <c r="A388" i="1" s="1"/>
  <c r="BA216" i="1"/>
  <c r="BC223" i="1" s="1"/>
  <c r="BB224" i="1" s="1"/>
  <c r="AM209" i="1" s="1"/>
  <c r="B186" i="1"/>
  <c r="C186" i="1" s="1"/>
  <c r="D186" i="1" s="1"/>
  <c r="E186" i="1" s="1"/>
  <c r="F186" i="1" s="1"/>
  <c r="BL408" i="1"/>
  <c r="BM408" i="1" s="1"/>
  <c r="BN408" i="1" s="1"/>
  <c r="BO408" i="1"/>
  <c r="G118" i="1"/>
  <c r="H118" i="1" s="1"/>
  <c r="I118" i="1" s="1"/>
  <c r="J118" i="1"/>
  <c r="BL186" i="1"/>
  <c r="BM186" i="1" s="1"/>
  <c r="BN186" i="1" s="1"/>
  <c r="BO186" i="1"/>
  <c r="BT438" i="1"/>
  <c r="BV445" i="1" s="1"/>
  <c r="BU446" i="1" s="1"/>
  <c r="BF431" i="1" s="1"/>
  <c r="BP118" i="1" l="1"/>
  <c r="BQ118" i="1" s="1"/>
  <c r="BR118" i="1" s="1"/>
  <c r="BP340" i="1"/>
  <c r="BQ340" i="1" s="1"/>
  <c r="BR340" i="1" s="1"/>
  <c r="BS340" i="1" s="1"/>
  <c r="BT340" i="1" s="1"/>
  <c r="BU340" i="1" s="1"/>
  <c r="BV340" i="1" s="1"/>
  <c r="BC216" i="1"/>
  <c r="Q438" i="1"/>
  <c r="BC438" i="1"/>
  <c r="BV370" i="1"/>
  <c r="K408" i="1"/>
  <c r="L408" i="1" s="1"/>
  <c r="M408" i="1" s="1"/>
  <c r="AJ370" i="1"/>
  <c r="AD408" i="1"/>
  <c r="AE408" i="1" s="1"/>
  <c r="AF408" i="1" s="1"/>
  <c r="AD340" i="1"/>
  <c r="AE340" i="1" s="1"/>
  <c r="AF340" i="1" s="1"/>
  <c r="BV148" i="1"/>
  <c r="Q148" i="1"/>
  <c r="AG248" i="1"/>
  <c r="AA248" i="1"/>
  <c r="AA249" i="1" s="1"/>
  <c r="BV438" i="1"/>
  <c r="K118" i="1"/>
  <c r="L118" i="1" s="1"/>
  <c r="M118" i="1" s="1"/>
  <c r="J186" i="1"/>
  <c r="G186" i="1"/>
  <c r="H186" i="1" s="1"/>
  <c r="I186" i="1" s="1"/>
  <c r="AN209" i="1"/>
  <c r="AO209" i="1" s="1"/>
  <c r="AP209" i="1" s="1"/>
  <c r="AQ209" i="1" s="1"/>
  <c r="AR209" i="1" s="1"/>
  <c r="B431" i="1"/>
  <c r="C431" i="1" s="1"/>
  <c r="D431" i="1" s="1"/>
  <c r="E431" i="1" s="1"/>
  <c r="F431" i="1" s="1"/>
  <c r="BC395" i="1"/>
  <c r="AW186" i="1"/>
  <c r="AX186" i="1" s="1"/>
  <c r="AY186" i="1" s="1"/>
  <c r="AN431" i="1"/>
  <c r="AO431" i="1" s="1"/>
  <c r="AP431" i="1" s="1"/>
  <c r="AQ431" i="1" s="1"/>
  <c r="AR431" i="1" s="1"/>
  <c r="G363" i="1"/>
  <c r="H363" i="1" s="1"/>
  <c r="I363" i="1" s="1"/>
  <c r="J363" i="1"/>
  <c r="N340" i="1"/>
  <c r="O340" i="1" s="1"/>
  <c r="P340" i="1" s="1"/>
  <c r="Q340" i="1" s="1"/>
  <c r="AJ438" i="1"/>
  <c r="BC173" i="1"/>
  <c r="AH148" i="1"/>
  <c r="AJ155" i="1" s="1"/>
  <c r="AI156" i="1" s="1"/>
  <c r="T141" i="1" s="1"/>
  <c r="AW408" i="1"/>
  <c r="AX408" i="1" s="1"/>
  <c r="AY408" i="1" s="1"/>
  <c r="AZ340" i="1"/>
  <c r="BA340" i="1" s="1"/>
  <c r="BB340" i="1" s="1"/>
  <c r="BC340" i="1" s="1"/>
  <c r="AH395" i="1"/>
  <c r="AJ402" i="1" s="1"/>
  <c r="AI403" i="1" s="1"/>
  <c r="T388" i="1" s="1"/>
  <c r="Z186" i="1"/>
  <c r="AA186" i="1" s="1"/>
  <c r="AB186" i="1" s="1"/>
  <c r="AC186" i="1"/>
  <c r="N408" i="1"/>
  <c r="O408" i="1" s="1"/>
  <c r="P408" i="1" s="1"/>
  <c r="Q408" i="1" s="1"/>
  <c r="AG180" i="1"/>
  <c r="AA180" i="1"/>
  <c r="AA181" i="1" s="1"/>
  <c r="AH216" i="1"/>
  <c r="AJ223" i="1" s="1"/>
  <c r="AI224" i="1" s="1"/>
  <c r="T209" i="1" s="1"/>
  <c r="BG209" i="1"/>
  <c r="BH209" i="1" s="1"/>
  <c r="BI209" i="1" s="1"/>
  <c r="BJ209" i="1" s="1"/>
  <c r="BK209" i="1" s="1"/>
  <c r="AH463" i="1"/>
  <c r="AJ470" i="1" s="1"/>
  <c r="AI471" i="1" s="1"/>
  <c r="T456" i="1" s="1"/>
  <c r="BA463" i="1"/>
  <c r="BC470" i="1" s="1"/>
  <c r="BB471" i="1" s="1"/>
  <c r="AM456" i="1" s="1"/>
  <c r="AG340" i="1"/>
  <c r="AH340" i="1" s="1"/>
  <c r="AI340" i="1" s="1"/>
  <c r="AJ340" i="1" s="1"/>
  <c r="BA241" i="1"/>
  <c r="BC248" i="1" s="1"/>
  <c r="BB249" i="1" s="1"/>
  <c r="AM234" i="1" s="1"/>
  <c r="O173" i="1"/>
  <c r="Q180" i="1" s="1"/>
  <c r="P181" i="1" s="1"/>
  <c r="A166" i="1" s="1"/>
  <c r="Z118" i="1"/>
  <c r="AA118" i="1" s="1"/>
  <c r="AB118" i="1" s="1"/>
  <c r="AC118" i="1"/>
  <c r="BG431" i="1"/>
  <c r="BH431" i="1" s="1"/>
  <c r="BI431" i="1" s="1"/>
  <c r="BJ431" i="1" s="1"/>
  <c r="BK431" i="1" s="1"/>
  <c r="BP186" i="1"/>
  <c r="BQ186" i="1" s="1"/>
  <c r="BR186" i="1" s="1"/>
  <c r="BP408" i="1"/>
  <c r="BQ408" i="1" s="1"/>
  <c r="BR408" i="1" s="1"/>
  <c r="Q395" i="1"/>
  <c r="AZ119" i="1"/>
  <c r="BG141" i="1"/>
  <c r="BH141" i="1" s="1"/>
  <c r="BI141" i="1" s="1"/>
  <c r="BJ141" i="1" s="1"/>
  <c r="BK141" i="1" s="1"/>
  <c r="B141" i="1"/>
  <c r="C141" i="1" s="1"/>
  <c r="D141" i="1" s="1"/>
  <c r="E141" i="1" s="1"/>
  <c r="F141" i="1" s="1"/>
  <c r="BG363" i="1"/>
  <c r="BH363" i="1" s="1"/>
  <c r="BI363" i="1" s="1"/>
  <c r="BJ363" i="1" s="1"/>
  <c r="BK363" i="1" s="1"/>
  <c r="BV216" i="1"/>
  <c r="U363" i="1"/>
  <c r="V363" i="1" s="1"/>
  <c r="W363" i="1" s="1"/>
  <c r="X363" i="1" s="1"/>
  <c r="Y363" i="1" s="1"/>
  <c r="B388" i="1"/>
  <c r="C388" i="1" s="1"/>
  <c r="D388" i="1" s="1"/>
  <c r="E388" i="1" s="1"/>
  <c r="F388" i="1" s="1"/>
  <c r="BT173" i="1"/>
  <c r="BV180" i="1" s="1"/>
  <c r="BU181" i="1" s="1"/>
  <c r="BF166" i="1" s="1"/>
  <c r="AN388" i="1"/>
  <c r="AO388" i="1" s="1"/>
  <c r="AP388" i="1" s="1"/>
  <c r="AQ388" i="1" s="1"/>
  <c r="AR388" i="1" s="1"/>
  <c r="H248" i="1"/>
  <c r="H249" i="1" s="1"/>
  <c r="N248" i="1"/>
  <c r="U431" i="1"/>
  <c r="V431" i="1" s="1"/>
  <c r="W431" i="1" s="1"/>
  <c r="X431" i="1" s="1"/>
  <c r="Y431" i="1" s="1"/>
  <c r="AG408" i="1"/>
  <c r="AH408" i="1" s="1"/>
  <c r="AI408" i="1" s="1"/>
  <c r="AJ408" i="1" s="1"/>
  <c r="AN166" i="1"/>
  <c r="AO166" i="1" s="1"/>
  <c r="AP166" i="1" s="1"/>
  <c r="AQ166" i="1" s="1"/>
  <c r="AR166" i="1" s="1"/>
  <c r="BS118" i="1"/>
  <c r="BT118" i="1" s="1"/>
  <c r="BU118" i="1" s="1"/>
  <c r="BV118" i="1" s="1"/>
  <c r="AS141" i="1"/>
  <c r="AT141" i="1" s="1"/>
  <c r="AU141" i="1" s="1"/>
  <c r="AV141" i="1"/>
  <c r="AS363" i="1"/>
  <c r="AT363" i="1" s="1"/>
  <c r="AU363" i="1" s="1"/>
  <c r="AV363" i="1"/>
  <c r="O216" i="1"/>
  <c r="Q223" i="1" s="1"/>
  <c r="P224" i="1" s="1"/>
  <c r="A209" i="1" s="1"/>
  <c r="BT395" i="1"/>
  <c r="BV402" i="1" s="1"/>
  <c r="BU403" i="1" s="1"/>
  <c r="BF388" i="1" s="1"/>
  <c r="O463" i="1"/>
  <c r="Q470" i="1" s="1"/>
  <c r="P471" i="1" s="1"/>
  <c r="A456" i="1" s="1"/>
  <c r="BT241" i="1"/>
  <c r="BV248" i="1" s="1"/>
  <c r="BU249" i="1" s="1"/>
  <c r="BF234" i="1" s="1"/>
  <c r="BT463" i="1"/>
  <c r="BV470" i="1" s="1"/>
  <c r="BU471" i="1" s="1"/>
  <c r="BF456" i="1" s="1"/>
  <c r="AW363" i="1" l="1"/>
  <c r="AX363" i="1" s="1"/>
  <c r="AY363" i="1" s="1"/>
  <c r="AZ363" i="1" s="1"/>
  <c r="BA363" i="1" s="1"/>
  <c r="BB363" i="1" s="1"/>
  <c r="BC363" i="1" s="1"/>
  <c r="AZ341" i="1"/>
  <c r="AZ342" i="1" s="1"/>
  <c r="N409" i="1"/>
  <c r="Q463" i="1"/>
  <c r="AJ463" i="1"/>
  <c r="AG341" i="1"/>
  <c r="AG342" i="1" s="1"/>
  <c r="N341" i="1"/>
  <c r="BV173" i="1"/>
  <c r="AW141" i="1"/>
  <c r="AX141" i="1" s="1"/>
  <c r="AY141" i="1" s="1"/>
  <c r="Q216" i="1"/>
  <c r="K186" i="1"/>
  <c r="L186" i="1" s="1"/>
  <c r="M186" i="1" s="1"/>
  <c r="AD118" i="1"/>
  <c r="AE118" i="1" s="1"/>
  <c r="AF118" i="1" s="1"/>
  <c r="AG118" i="1" s="1"/>
  <c r="AH118" i="1" s="1"/>
  <c r="AI118" i="1" s="1"/>
  <c r="AJ118" i="1" s="1"/>
  <c r="AD186" i="1"/>
  <c r="AE186" i="1" s="1"/>
  <c r="AF186" i="1" s="1"/>
  <c r="AG186" i="1" s="1"/>
  <c r="AH186" i="1" s="1"/>
  <c r="AI186" i="1" s="1"/>
  <c r="AJ186" i="1" s="1"/>
  <c r="AC431" i="1"/>
  <c r="Z431" i="1"/>
  <c r="AA431" i="1" s="1"/>
  <c r="AB431" i="1" s="1"/>
  <c r="BG166" i="1"/>
  <c r="BH166" i="1" s="1"/>
  <c r="BI166" i="1" s="1"/>
  <c r="BJ166" i="1" s="1"/>
  <c r="BK166" i="1" s="1"/>
  <c r="AC363" i="1"/>
  <c r="Z363" i="1"/>
  <c r="AA363" i="1" s="1"/>
  <c r="AB363" i="1" s="1"/>
  <c r="BS186" i="1"/>
  <c r="BT186" i="1" s="1"/>
  <c r="BU186" i="1" s="1"/>
  <c r="BV186" i="1" s="1"/>
  <c r="B166" i="1"/>
  <c r="C166" i="1" s="1"/>
  <c r="D166" i="1" s="1"/>
  <c r="E166" i="1" s="1"/>
  <c r="F166" i="1" s="1"/>
  <c r="BL209" i="1"/>
  <c r="BM209" i="1" s="1"/>
  <c r="BN209" i="1" s="1"/>
  <c r="BO209" i="1"/>
  <c r="U209" i="1"/>
  <c r="V209" i="1" s="1"/>
  <c r="W209" i="1" s="1"/>
  <c r="X209" i="1" s="1"/>
  <c r="Y209" i="1" s="1"/>
  <c r="A410" i="1"/>
  <c r="O409" i="1"/>
  <c r="U141" i="1"/>
  <c r="V141" i="1" s="1"/>
  <c r="W141" i="1" s="1"/>
  <c r="X141" i="1" s="1"/>
  <c r="Y141" i="1" s="1"/>
  <c r="J431" i="1"/>
  <c r="G431" i="1"/>
  <c r="H431" i="1" s="1"/>
  <c r="I431" i="1" s="1"/>
  <c r="AS209" i="1"/>
  <c r="AT209" i="1" s="1"/>
  <c r="AU209" i="1" s="1"/>
  <c r="AV209" i="1"/>
  <c r="BG234" i="1"/>
  <c r="BH234" i="1" s="1"/>
  <c r="BI234" i="1" s="1"/>
  <c r="BJ234" i="1" s="1"/>
  <c r="BK234" i="1" s="1"/>
  <c r="O241" i="1"/>
  <c r="Q248" i="1" s="1"/>
  <c r="P249" i="1" s="1"/>
  <c r="A234" i="1" s="1"/>
  <c r="AV388" i="1"/>
  <c r="AS388" i="1"/>
  <c r="AT388" i="1" s="1"/>
  <c r="AU388" i="1" s="1"/>
  <c r="G141" i="1"/>
  <c r="H141" i="1" s="1"/>
  <c r="I141" i="1" s="1"/>
  <c r="J141" i="1"/>
  <c r="AM120" i="1"/>
  <c r="BA119" i="1"/>
  <c r="AZ120" i="1"/>
  <c r="BO431" i="1"/>
  <c r="BL431" i="1"/>
  <c r="BM431" i="1" s="1"/>
  <c r="BN431" i="1" s="1"/>
  <c r="AN234" i="1"/>
  <c r="AO234" i="1" s="1"/>
  <c r="AP234" i="1" s="1"/>
  <c r="AQ234" i="1" s="1"/>
  <c r="AR234" i="1" s="1"/>
  <c r="AN456" i="1"/>
  <c r="AO456" i="1" s="1"/>
  <c r="AP456" i="1" s="1"/>
  <c r="AQ456" i="1" s="1"/>
  <c r="AR456" i="1" s="1"/>
  <c r="AH173" i="1"/>
  <c r="AJ180" i="1" s="1"/>
  <c r="AI181" i="1" s="1"/>
  <c r="T166" i="1" s="1"/>
  <c r="A342" i="1"/>
  <c r="O341" i="1"/>
  <c r="N342" i="1"/>
  <c r="AS431" i="1"/>
  <c r="AT431" i="1" s="1"/>
  <c r="AU431" i="1" s="1"/>
  <c r="AV431" i="1"/>
  <c r="N410" i="1"/>
  <c r="N186" i="1"/>
  <c r="O186" i="1" s="1"/>
  <c r="P186" i="1" s="1"/>
  <c r="Q186" i="1" s="1"/>
  <c r="AH241" i="1"/>
  <c r="AJ248" i="1" s="1"/>
  <c r="AI249" i="1" s="1"/>
  <c r="T234" i="1" s="1"/>
  <c r="BG456" i="1"/>
  <c r="BH456" i="1" s="1"/>
  <c r="BI456" i="1" s="1"/>
  <c r="BJ456" i="1" s="1"/>
  <c r="BK456" i="1" s="1"/>
  <c r="B456" i="1"/>
  <c r="C456" i="1" s="1"/>
  <c r="D456" i="1" s="1"/>
  <c r="E456" i="1" s="1"/>
  <c r="F456" i="1" s="1"/>
  <c r="AS166" i="1"/>
  <c r="AT166" i="1" s="1"/>
  <c r="AU166" i="1" s="1"/>
  <c r="AV166" i="1"/>
  <c r="AF343" i="1"/>
  <c r="AG343" i="1" s="1"/>
  <c r="AH343" i="1"/>
  <c r="BO363" i="1"/>
  <c r="BL363" i="1"/>
  <c r="BM363" i="1" s="1"/>
  <c r="BN363" i="1" s="1"/>
  <c r="BL141" i="1"/>
  <c r="BM141" i="1" s="1"/>
  <c r="BN141" i="1" s="1"/>
  <c r="BO141" i="1"/>
  <c r="BC241" i="1"/>
  <c r="BC463" i="1"/>
  <c r="BS341" i="1"/>
  <c r="U388" i="1"/>
  <c r="V388" i="1" s="1"/>
  <c r="W388" i="1" s="1"/>
  <c r="X388" i="1" s="1"/>
  <c r="Y388" i="1" s="1"/>
  <c r="AZ408" i="1"/>
  <c r="BA408" i="1" s="1"/>
  <c r="BB408" i="1" s="1"/>
  <c r="BC408" i="1" s="1"/>
  <c r="AZ186" i="1"/>
  <c r="BA186" i="1" s="1"/>
  <c r="BB186" i="1" s="1"/>
  <c r="BC186" i="1" s="1"/>
  <c r="N118" i="1"/>
  <c r="O118" i="1" s="1"/>
  <c r="P118" i="1" s="1"/>
  <c r="Q118" i="1" s="1"/>
  <c r="BG388" i="1"/>
  <c r="BH388" i="1" s="1"/>
  <c r="BI388" i="1" s="1"/>
  <c r="BJ388" i="1" s="1"/>
  <c r="BK388" i="1" s="1"/>
  <c r="BS119" i="1"/>
  <c r="BV463" i="1"/>
  <c r="AZ141" i="1"/>
  <c r="BA141" i="1" s="1"/>
  <c r="BB141" i="1" s="1"/>
  <c r="BC141" i="1" s="1"/>
  <c r="BV241" i="1"/>
  <c r="BV395" i="1"/>
  <c r="B209" i="1"/>
  <c r="C209" i="1" s="1"/>
  <c r="D209" i="1" s="1"/>
  <c r="E209" i="1" s="1"/>
  <c r="F209" i="1" s="1"/>
  <c r="AG409" i="1"/>
  <c r="J388" i="1"/>
  <c r="G388" i="1"/>
  <c r="H388" i="1" s="1"/>
  <c r="I388" i="1" s="1"/>
  <c r="BS408" i="1"/>
  <c r="BT408" i="1" s="1"/>
  <c r="BU408" i="1" s="1"/>
  <c r="BV408" i="1" s="1"/>
  <c r="Q173" i="1"/>
  <c r="U456" i="1"/>
  <c r="V456" i="1" s="1"/>
  <c r="W456" i="1" s="1"/>
  <c r="X456" i="1" s="1"/>
  <c r="Y456" i="1" s="1"/>
  <c r="AJ216" i="1"/>
  <c r="AJ395" i="1"/>
  <c r="AJ148" i="1"/>
  <c r="K363" i="1"/>
  <c r="L363" i="1" s="1"/>
  <c r="M363" i="1" s="1"/>
  <c r="BP141" i="1" l="1"/>
  <c r="BQ141" i="1" s="1"/>
  <c r="BR141" i="1" s="1"/>
  <c r="BS141" i="1" s="1"/>
  <c r="BT141" i="1" s="1"/>
  <c r="BU141" i="1" s="1"/>
  <c r="BV141" i="1" s="1"/>
  <c r="AH341" i="1"/>
  <c r="T342" i="1"/>
  <c r="BA341" i="1"/>
  <c r="AM342" i="1"/>
  <c r="AW388" i="1"/>
  <c r="AX388" i="1" s="1"/>
  <c r="AY388" i="1" s="1"/>
  <c r="AZ388" i="1" s="1"/>
  <c r="BA388" i="1" s="1"/>
  <c r="BB388" i="1" s="1"/>
  <c r="BC388" i="1" s="1"/>
  <c r="AZ409" i="1"/>
  <c r="AM410" i="1" s="1"/>
  <c r="BP431" i="1"/>
  <c r="BQ431" i="1" s="1"/>
  <c r="BR431" i="1" s="1"/>
  <c r="BS431" i="1" s="1"/>
  <c r="BT431" i="1" s="1"/>
  <c r="BU431" i="1" s="1"/>
  <c r="BV431" i="1" s="1"/>
  <c r="K431" i="1"/>
  <c r="L431" i="1" s="1"/>
  <c r="M431" i="1" s="1"/>
  <c r="N431" i="1" s="1"/>
  <c r="O431" i="1" s="1"/>
  <c r="P431" i="1" s="1"/>
  <c r="Q431" i="1" s="1"/>
  <c r="AW166" i="1"/>
  <c r="AX166" i="1" s="1"/>
  <c r="AY166" i="1" s="1"/>
  <c r="AZ166" i="1" s="1"/>
  <c r="BA166" i="1" s="1"/>
  <c r="BB166" i="1" s="1"/>
  <c r="BC166" i="1" s="1"/>
  <c r="AG119" i="1"/>
  <c r="AG120" i="1" s="1"/>
  <c r="AF121" i="1" s="1"/>
  <c r="AG121" i="1" s="1"/>
  <c r="T343" i="1"/>
  <c r="AH342" i="1"/>
  <c r="AF342" i="1"/>
  <c r="U342" i="1"/>
  <c r="T410" i="1"/>
  <c r="AH409" i="1"/>
  <c r="AG410" i="1"/>
  <c r="BL388" i="1"/>
  <c r="BM388" i="1" s="1"/>
  <c r="BN388" i="1" s="1"/>
  <c r="BO388" i="1"/>
  <c r="BF342" i="1"/>
  <c r="BT341" i="1"/>
  <c r="BS342" i="1"/>
  <c r="J456" i="1"/>
  <c r="G456" i="1"/>
  <c r="H456" i="1" s="1"/>
  <c r="I456" i="1" s="1"/>
  <c r="BL456" i="1"/>
  <c r="BM456" i="1" s="1"/>
  <c r="BN456" i="1" s="1"/>
  <c r="BO456" i="1"/>
  <c r="U234" i="1"/>
  <c r="V234" i="1" s="1"/>
  <c r="W234" i="1" s="1"/>
  <c r="X234" i="1" s="1"/>
  <c r="Y234" i="1" s="1"/>
  <c r="O411" i="1"/>
  <c r="M411" i="1"/>
  <c r="N411" i="1" s="1"/>
  <c r="AV456" i="1"/>
  <c r="AS456" i="1"/>
  <c r="AT456" i="1" s="1"/>
  <c r="AU456" i="1" s="1"/>
  <c r="BL234" i="1"/>
  <c r="BM234" i="1" s="1"/>
  <c r="BN234" i="1" s="1"/>
  <c r="BO234" i="1"/>
  <c r="U344" i="1"/>
  <c r="U352" i="1" s="1"/>
  <c r="W352" i="1" s="1"/>
  <c r="X352" i="1" s="1"/>
  <c r="G166" i="1"/>
  <c r="H166" i="1" s="1"/>
  <c r="I166" i="1" s="1"/>
  <c r="J166" i="1"/>
  <c r="G209" i="1"/>
  <c r="H209" i="1" s="1"/>
  <c r="I209" i="1" s="1"/>
  <c r="J209" i="1"/>
  <c r="BS409" i="1"/>
  <c r="AZ142" i="1"/>
  <c r="N119" i="1"/>
  <c r="AJ241" i="1"/>
  <c r="AW431" i="1"/>
  <c r="AX431" i="1" s="1"/>
  <c r="AY431" i="1" s="1"/>
  <c r="AJ173" i="1"/>
  <c r="AV234" i="1"/>
  <c r="AS234" i="1"/>
  <c r="AT234" i="1" s="1"/>
  <c r="AU234" i="1" s="1"/>
  <c r="K141" i="1"/>
  <c r="L141" i="1" s="1"/>
  <c r="M141" i="1" s="1"/>
  <c r="Q241" i="1"/>
  <c r="AW209" i="1"/>
  <c r="AX209" i="1" s="1"/>
  <c r="AY209" i="1" s="1"/>
  <c r="BP209" i="1"/>
  <c r="BQ209" i="1" s="1"/>
  <c r="BR209" i="1" s="1"/>
  <c r="BS187" i="1"/>
  <c r="BL166" i="1"/>
  <c r="BM166" i="1" s="1"/>
  <c r="BN166" i="1" s="1"/>
  <c r="BO166" i="1"/>
  <c r="AD431" i="1"/>
  <c r="AE431" i="1" s="1"/>
  <c r="AF431" i="1" s="1"/>
  <c r="Z388" i="1"/>
  <c r="AA388" i="1" s="1"/>
  <c r="AB388" i="1" s="1"/>
  <c r="AC388" i="1"/>
  <c r="U166" i="1"/>
  <c r="V166" i="1" s="1"/>
  <c r="W166" i="1" s="1"/>
  <c r="X166" i="1" s="1"/>
  <c r="Y166" i="1" s="1"/>
  <c r="B234" i="1"/>
  <c r="C234" i="1" s="1"/>
  <c r="D234" i="1" s="1"/>
  <c r="E234" i="1" s="1"/>
  <c r="F234" i="1" s="1"/>
  <c r="AY343" i="1"/>
  <c r="AZ343" i="1" s="1"/>
  <c r="BA343" i="1"/>
  <c r="Z209" i="1"/>
  <c r="AA209" i="1" s="1"/>
  <c r="AB209" i="1" s="1"/>
  <c r="AC209" i="1"/>
  <c r="N363" i="1"/>
  <c r="O363" i="1" s="1"/>
  <c r="P363" i="1" s="1"/>
  <c r="Q363" i="1" s="1"/>
  <c r="AC456" i="1"/>
  <c r="Z456" i="1"/>
  <c r="AA456" i="1" s="1"/>
  <c r="AB456" i="1" s="1"/>
  <c r="K388" i="1"/>
  <c r="L388" i="1" s="1"/>
  <c r="M388" i="1" s="1"/>
  <c r="BF120" i="1"/>
  <c r="BT119" i="1"/>
  <c r="BS120" i="1"/>
  <c r="AZ187" i="1"/>
  <c r="AG187" i="1"/>
  <c r="BP363" i="1"/>
  <c r="BQ363" i="1" s="1"/>
  <c r="BR363" i="1" s="1"/>
  <c r="N187" i="1"/>
  <c r="O343" i="1"/>
  <c r="M343" i="1"/>
  <c r="N343" i="1" s="1"/>
  <c r="BA121" i="1"/>
  <c r="AY121" i="1"/>
  <c r="AZ121" i="1" s="1"/>
  <c r="Z141" i="1"/>
  <c r="AA141" i="1" s="1"/>
  <c r="AB141" i="1" s="1"/>
  <c r="AC141" i="1"/>
  <c r="AD363" i="1"/>
  <c r="AE363" i="1" s="1"/>
  <c r="AF363" i="1" s="1"/>
  <c r="AZ364" i="1"/>
  <c r="AD209" i="1" l="1"/>
  <c r="AE209" i="1" s="1"/>
  <c r="AF209" i="1" s="1"/>
  <c r="AG209" i="1" s="1"/>
  <c r="AH209" i="1" s="1"/>
  <c r="AI209" i="1" s="1"/>
  <c r="AJ209" i="1" s="1"/>
  <c r="AH121" i="1"/>
  <c r="AH119" i="1"/>
  <c r="K166" i="1"/>
  <c r="L166" i="1" s="1"/>
  <c r="M166" i="1" s="1"/>
  <c r="N166" i="1" s="1"/>
  <c r="O166" i="1" s="1"/>
  <c r="P166" i="1" s="1"/>
  <c r="Q166" i="1" s="1"/>
  <c r="T120" i="1"/>
  <c r="AZ410" i="1"/>
  <c r="BA409" i="1"/>
  <c r="BS432" i="1"/>
  <c r="BT432" i="1" s="1"/>
  <c r="AZ389" i="1"/>
  <c r="AZ390" i="1" s="1"/>
  <c r="BA391" i="1" s="1"/>
  <c r="AD141" i="1"/>
  <c r="AE141" i="1" s="1"/>
  <c r="AF141" i="1" s="1"/>
  <c r="AG141" i="1" s="1"/>
  <c r="AH141" i="1" s="1"/>
  <c r="AI141" i="1" s="1"/>
  <c r="AJ141" i="1" s="1"/>
  <c r="AW234" i="1"/>
  <c r="AX234" i="1" s="1"/>
  <c r="AY234" i="1" s="1"/>
  <c r="BS142" i="1"/>
  <c r="BS143" i="1" s="1"/>
  <c r="BR144" i="1" s="1"/>
  <c r="BS144" i="1" s="1"/>
  <c r="K209" i="1"/>
  <c r="L209" i="1" s="1"/>
  <c r="M209" i="1" s="1"/>
  <c r="N209" i="1" s="1"/>
  <c r="O209" i="1" s="1"/>
  <c r="P209" i="1" s="1"/>
  <c r="Q209" i="1" s="1"/>
  <c r="T121" i="1"/>
  <c r="AH120" i="1"/>
  <c r="U120" i="1"/>
  <c r="AF120" i="1"/>
  <c r="AM121" i="1"/>
  <c r="BA120" i="1"/>
  <c r="AY120" i="1"/>
  <c r="AN120" i="1"/>
  <c r="BS363" i="1"/>
  <c r="BT363" i="1" s="1"/>
  <c r="BU363" i="1" s="1"/>
  <c r="BV363" i="1" s="1"/>
  <c r="AM188" i="1"/>
  <c r="BA187" i="1"/>
  <c r="AZ188" i="1"/>
  <c r="AM343" i="1"/>
  <c r="BA342" i="1"/>
  <c r="AY342" i="1"/>
  <c r="AN342" i="1"/>
  <c r="J234" i="1"/>
  <c r="G234" i="1"/>
  <c r="H234" i="1" s="1"/>
  <c r="I234" i="1" s="1"/>
  <c r="BF433" i="1"/>
  <c r="AG431" i="1"/>
  <c r="AH431" i="1" s="1"/>
  <c r="AI431" i="1" s="1"/>
  <c r="AJ431" i="1" s="1"/>
  <c r="BS209" i="1"/>
  <c r="BT209" i="1" s="1"/>
  <c r="BU209" i="1" s="1"/>
  <c r="BV209" i="1" s="1"/>
  <c r="AZ209" i="1"/>
  <c r="BA209" i="1" s="1"/>
  <c r="BB209" i="1" s="1"/>
  <c r="BC209" i="1" s="1"/>
  <c r="BP234" i="1"/>
  <c r="BQ234" i="1" s="1"/>
  <c r="BR234" i="1" s="1"/>
  <c r="Z234" i="1"/>
  <c r="AA234" i="1" s="1"/>
  <c r="AB234" i="1" s="1"/>
  <c r="AC234" i="1"/>
  <c r="BP456" i="1"/>
  <c r="BQ456" i="1" s="1"/>
  <c r="BR456" i="1" s="1"/>
  <c r="BT343" i="1"/>
  <c r="BR343" i="1"/>
  <c r="BS343" i="1" s="1"/>
  <c r="BP388" i="1"/>
  <c r="BQ388" i="1" s="1"/>
  <c r="BR388" i="1" s="1"/>
  <c r="AI349" i="1"/>
  <c r="U351" i="1"/>
  <c r="U341" i="1"/>
  <c r="U345" i="1" s="1"/>
  <c r="X345" i="1"/>
  <c r="AM365" i="1"/>
  <c r="BA364" i="1"/>
  <c r="AZ365" i="1"/>
  <c r="A343" i="1"/>
  <c r="O342" i="1"/>
  <c r="B342" i="1"/>
  <c r="M342" i="1"/>
  <c r="AG363" i="1"/>
  <c r="AH363" i="1" s="1"/>
  <c r="AI363" i="1" s="1"/>
  <c r="AJ363" i="1" s="1"/>
  <c r="BT121" i="1"/>
  <c r="BR121" i="1"/>
  <c r="BS121" i="1" s="1"/>
  <c r="AD456" i="1"/>
  <c r="AE456" i="1" s="1"/>
  <c r="AF456" i="1" s="1"/>
  <c r="AD388" i="1"/>
  <c r="AE388" i="1" s="1"/>
  <c r="AF388" i="1" s="1"/>
  <c r="BP166" i="1"/>
  <c r="BQ166" i="1" s="1"/>
  <c r="BR166" i="1" s="1"/>
  <c r="AZ234" i="1"/>
  <c r="BA234" i="1" s="1"/>
  <c r="BB234" i="1" s="1"/>
  <c r="BC234" i="1" s="1"/>
  <c r="A120" i="1"/>
  <c r="O119" i="1"/>
  <c r="N120" i="1"/>
  <c r="BF143" i="1"/>
  <c r="AI348" i="1"/>
  <c r="AW456" i="1"/>
  <c r="AX456" i="1" s="1"/>
  <c r="AY456" i="1" s="1"/>
  <c r="A188" i="1"/>
  <c r="O187" i="1"/>
  <c r="N188" i="1"/>
  <c r="Z166" i="1"/>
  <c r="AA166" i="1" s="1"/>
  <c r="AB166" i="1" s="1"/>
  <c r="AC166" i="1"/>
  <c r="N141" i="1"/>
  <c r="O141" i="1" s="1"/>
  <c r="P141" i="1" s="1"/>
  <c r="Q141" i="1" s="1"/>
  <c r="AZ431" i="1"/>
  <c r="BA431" i="1" s="1"/>
  <c r="BB431" i="1" s="1"/>
  <c r="BC431" i="1" s="1"/>
  <c r="AM143" i="1"/>
  <c r="BA142" i="1"/>
  <c r="AZ143" i="1"/>
  <c r="A411" i="1"/>
  <c r="O410" i="1"/>
  <c r="B410" i="1"/>
  <c r="M410" i="1"/>
  <c r="BA411" i="1"/>
  <c r="AY411" i="1"/>
  <c r="AZ411" i="1" s="1"/>
  <c r="AH411" i="1"/>
  <c r="AF411" i="1"/>
  <c r="AG411" i="1" s="1"/>
  <c r="T341" i="1"/>
  <c r="V350" i="1" s="1"/>
  <c r="T345" i="1"/>
  <c r="T344" i="1"/>
  <c r="T188" i="1"/>
  <c r="AH187" i="1"/>
  <c r="AG188" i="1"/>
  <c r="N388" i="1"/>
  <c r="O388" i="1" s="1"/>
  <c r="P388" i="1" s="1"/>
  <c r="Q388" i="1" s="1"/>
  <c r="N364" i="1"/>
  <c r="AZ167" i="1"/>
  <c r="BF188" i="1"/>
  <c r="BT187" i="1"/>
  <c r="BS188" i="1"/>
  <c r="BS433" i="1"/>
  <c r="BF410" i="1"/>
  <c r="BT409" i="1"/>
  <c r="BS410" i="1"/>
  <c r="AH353" i="1"/>
  <c r="N432" i="1"/>
  <c r="K456" i="1"/>
  <c r="L456" i="1" s="1"/>
  <c r="M456" i="1" s="1"/>
  <c r="U122" i="1" l="1"/>
  <c r="BT142" i="1"/>
  <c r="AD166" i="1"/>
  <c r="AE166" i="1" s="1"/>
  <c r="AF166" i="1" s="1"/>
  <c r="AG166" i="1" s="1"/>
  <c r="AH166" i="1" s="1"/>
  <c r="AI166" i="1" s="1"/>
  <c r="AJ166" i="1" s="1"/>
  <c r="BA389" i="1"/>
  <c r="AY391" i="1"/>
  <c r="AZ391" i="1" s="1"/>
  <c r="AY390" i="1" s="1"/>
  <c r="AM390" i="1"/>
  <c r="BT144" i="1"/>
  <c r="BR143" i="1"/>
  <c r="BG143" i="1"/>
  <c r="BG152" i="1" s="1"/>
  <c r="K234" i="1"/>
  <c r="L234" i="1" s="1"/>
  <c r="M234" i="1" s="1"/>
  <c r="N234" i="1" s="1"/>
  <c r="O234" i="1" s="1"/>
  <c r="P234" i="1" s="1"/>
  <c r="Q234" i="1" s="1"/>
  <c r="N456" i="1"/>
  <c r="O456" i="1" s="1"/>
  <c r="P456" i="1" s="1"/>
  <c r="Q456" i="1" s="1"/>
  <c r="AM168" i="1"/>
  <c r="BA167" i="1"/>
  <c r="AZ168" i="1"/>
  <c r="BF121" i="1"/>
  <c r="BT120" i="1"/>
  <c r="BR120" i="1"/>
  <c r="BG120" i="1"/>
  <c r="A345" i="1"/>
  <c r="A344" i="1"/>
  <c r="A341" i="1"/>
  <c r="BS388" i="1"/>
  <c r="BT388" i="1" s="1"/>
  <c r="BU388" i="1" s="1"/>
  <c r="BV388" i="1" s="1"/>
  <c r="BF343" i="1"/>
  <c r="BT342" i="1"/>
  <c r="BR342" i="1"/>
  <c r="BG342" i="1"/>
  <c r="BS364" i="1"/>
  <c r="AM123" i="1"/>
  <c r="AM122" i="1"/>
  <c r="AM119" i="1"/>
  <c r="T119" i="1"/>
  <c r="T123" i="1"/>
  <c r="T122" i="1"/>
  <c r="A413" i="1"/>
  <c r="A412" i="1"/>
  <c r="A409" i="1"/>
  <c r="BR434" i="1"/>
  <c r="BS434" i="1" s="1"/>
  <c r="BT434" i="1"/>
  <c r="AF189" i="1"/>
  <c r="AG189" i="1" s="1"/>
  <c r="AH189" i="1"/>
  <c r="AG142" i="1"/>
  <c r="T411" i="1"/>
  <c r="AH410" i="1"/>
  <c r="AF410" i="1"/>
  <c r="U410" i="1"/>
  <c r="N210" i="1"/>
  <c r="AZ432" i="1"/>
  <c r="AG210" i="1"/>
  <c r="M189" i="1"/>
  <c r="N189" i="1" s="1"/>
  <c r="O189" i="1"/>
  <c r="AZ456" i="1"/>
  <c r="BA456" i="1" s="1"/>
  <c r="BB456" i="1" s="1"/>
  <c r="BC456" i="1" s="1"/>
  <c r="M121" i="1"/>
  <c r="N121" i="1" s="1"/>
  <c r="O121" i="1"/>
  <c r="BS166" i="1"/>
  <c r="BT166" i="1" s="1"/>
  <c r="BU166" i="1" s="1"/>
  <c r="BV166" i="1" s="1"/>
  <c r="AG364" i="1"/>
  <c r="AZ210" i="1"/>
  <c r="AG432" i="1"/>
  <c r="BB349" i="1"/>
  <c r="AN351" i="1"/>
  <c r="AN341" i="1"/>
  <c r="AN345" i="1" s="1"/>
  <c r="AQ345" i="1"/>
  <c r="AN344" i="1"/>
  <c r="BT189" i="1"/>
  <c r="BR189" i="1"/>
  <c r="BS189" i="1" s="1"/>
  <c r="AG348" i="1"/>
  <c r="AM391" i="1"/>
  <c r="BA144" i="1"/>
  <c r="AY144" i="1"/>
  <c r="AZ144" i="1" s="1"/>
  <c r="BF144" i="1"/>
  <c r="BT143" i="1"/>
  <c r="AG388" i="1"/>
  <c r="AH388" i="1" s="1"/>
  <c r="AI388" i="1" s="1"/>
  <c r="AJ388" i="1" s="1"/>
  <c r="AY366" i="1"/>
  <c r="AZ366" i="1" s="1"/>
  <c r="BA366" i="1"/>
  <c r="AI354" i="1"/>
  <c r="V351" i="1"/>
  <c r="AI350" i="1"/>
  <c r="AK347" i="1" s="1"/>
  <c r="V345" i="1"/>
  <c r="AH349" i="1" s="1"/>
  <c r="BS456" i="1"/>
  <c r="BT456" i="1" s="1"/>
  <c r="BU456" i="1" s="1"/>
  <c r="BV456" i="1" s="1"/>
  <c r="BS234" i="1"/>
  <c r="BT234" i="1" s="1"/>
  <c r="BU234" i="1" s="1"/>
  <c r="BV234" i="1" s="1"/>
  <c r="BA189" i="1"/>
  <c r="AY189" i="1"/>
  <c r="AZ189" i="1" s="1"/>
  <c r="AN129" i="1"/>
  <c r="AQ123" i="1"/>
  <c r="BB127" i="1"/>
  <c r="AN119" i="1"/>
  <c r="AN122" i="1"/>
  <c r="A433" i="1"/>
  <c r="O432" i="1"/>
  <c r="N433" i="1"/>
  <c r="AJ350" i="1"/>
  <c r="X343" i="1"/>
  <c r="X341" i="1"/>
  <c r="A365" i="1"/>
  <c r="O364" i="1"/>
  <c r="N365" i="1"/>
  <c r="U130" i="1"/>
  <c r="W130" i="1" s="1"/>
  <c r="X130" i="1" s="1"/>
  <c r="AH131" i="1" s="1"/>
  <c r="BR411" i="1"/>
  <c r="BS411" i="1" s="1"/>
  <c r="BT411" i="1"/>
  <c r="N389" i="1"/>
  <c r="X351" i="1"/>
  <c r="T351" i="1"/>
  <c r="T350" i="1"/>
  <c r="AJ349" i="1"/>
  <c r="T347" i="1"/>
  <c r="T346" i="1"/>
  <c r="AM411" i="1"/>
  <c r="BA410" i="1"/>
  <c r="AY410" i="1"/>
  <c r="AN410" i="1"/>
  <c r="B419" i="1"/>
  <c r="E413" i="1"/>
  <c r="P417" i="1"/>
  <c r="B409" i="1"/>
  <c r="B413" i="1" s="1"/>
  <c r="B412" i="1"/>
  <c r="N142" i="1"/>
  <c r="N167" i="1"/>
  <c r="AZ235" i="1"/>
  <c r="AG456" i="1"/>
  <c r="AH456" i="1" s="1"/>
  <c r="AI456" i="1" s="1"/>
  <c r="AJ456" i="1" s="1"/>
  <c r="B351" i="1"/>
  <c r="P349" i="1"/>
  <c r="B341" i="1"/>
  <c r="E345" i="1"/>
  <c r="B344" i="1"/>
  <c r="AD234" i="1"/>
  <c r="AE234" i="1" s="1"/>
  <c r="AF234" i="1" s="1"/>
  <c r="BS210" i="1"/>
  <c r="AM345" i="1"/>
  <c r="AM344" i="1"/>
  <c r="AM341" i="1"/>
  <c r="U129" i="1"/>
  <c r="X123" i="1"/>
  <c r="AI127" i="1"/>
  <c r="U119" i="1"/>
  <c r="U123" i="1" s="1"/>
  <c r="BA390" i="1" l="1"/>
  <c r="AN390" i="1"/>
  <c r="AN389" i="1" s="1"/>
  <c r="BG145" i="1"/>
  <c r="BG153" i="1" s="1"/>
  <c r="BI153" i="1" s="1"/>
  <c r="BU150" i="1"/>
  <c r="BJ146" i="1"/>
  <c r="AZ457" i="1"/>
  <c r="BS457" i="1"/>
  <c r="BT457" i="1" s="1"/>
  <c r="T348" i="1"/>
  <c r="T354" i="1" s="1"/>
  <c r="BS235" i="1"/>
  <c r="BF236" i="1" s="1"/>
  <c r="BF211" i="1"/>
  <c r="BT210" i="1"/>
  <c r="BS211" i="1"/>
  <c r="P350" i="1"/>
  <c r="R347" i="1" s="1"/>
  <c r="P354" i="1"/>
  <c r="C345" i="1"/>
  <c r="O349" i="1" s="1"/>
  <c r="AZ348" i="1"/>
  <c r="B345" i="1"/>
  <c r="AG457" i="1"/>
  <c r="A143" i="1"/>
  <c r="O142" i="1"/>
  <c r="N143" i="1"/>
  <c r="P418" i="1"/>
  <c r="R415" i="1" s="1"/>
  <c r="P422" i="1"/>
  <c r="C413" i="1"/>
  <c r="O417" i="1" s="1"/>
  <c r="AG350" i="1"/>
  <c r="T352" i="1"/>
  <c r="M366" i="1"/>
  <c r="N366" i="1" s="1"/>
  <c r="O366" i="1"/>
  <c r="BB128" i="1"/>
  <c r="BD125" i="1" s="1"/>
  <c r="BB132" i="1"/>
  <c r="AO123" i="1"/>
  <c r="BA127" i="1" s="1"/>
  <c r="BF142" i="1"/>
  <c r="BF146" i="1"/>
  <c r="BF145" i="1"/>
  <c r="AM144" i="1"/>
  <c r="BA143" i="1"/>
  <c r="AN143" i="1"/>
  <c r="AY143" i="1"/>
  <c r="A121" i="1"/>
  <c r="O120" i="1"/>
  <c r="M120" i="1"/>
  <c r="B120" i="1"/>
  <c r="A189" i="1"/>
  <c r="O188" i="1"/>
  <c r="M188" i="1"/>
  <c r="B188" i="1"/>
  <c r="T413" i="1"/>
  <c r="T412" i="1"/>
  <c r="T409" i="1"/>
  <c r="T189" i="1"/>
  <c r="AH188" i="1"/>
  <c r="AF188" i="1"/>
  <c r="U188" i="1"/>
  <c r="N416" i="1"/>
  <c r="X119" i="1"/>
  <c r="AJ128" i="1"/>
  <c r="X121" i="1"/>
  <c r="BT364" i="1"/>
  <c r="BF365" i="1"/>
  <c r="BS365" i="1"/>
  <c r="BF341" i="1"/>
  <c r="BF345" i="1"/>
  <c r="BF344" i="1"/>
  <c r="N348" i="1"/>
  <c r="BF119" i="1"/>
  <c r="BF123" i="1"/>
  <c r="BF122" i="1"/>
  <c r="BJ153" i="1"/>
  <c r="N457" i="1"/>
  <c r="AI128" i="1"/>
  <c r="AK125" i="1" s="1"/>
  <c r="AI132" i="1"/>
  <c r="V123" i="1"/>
  <c r="AH127" i="1" s="1"/>
  <c r="AG234" i="1"/>
  <c r="AH234" i="1" s="1"/>
  <c r="AI234" i="1" s="1"/>
  <c r="AJ234" i="1" s="1"/>
  <c r="AQ351" i="1"/>
  <c r="AM351" i="1"/>
  <c r="BC349" i="1"/>
  <c r="AM350" i="1"/>
  <c r="AM346" i="1"/>
  <c r="AM347" i="1"/>
  <c r="B352" i="1"/>
  <c r="D352" i="1" s="1"/>
  <c r="E352" i="1" s="1"/>
  <c r="AM236" i="1"/>
  <c r="BA235" i="1"/>
  <c r="AZ236" i="1"/>
  <c r="AN419" i="1"/>
  <c r="BB417" i="1"/>
  <c r="AQ413" i="1"/>
  <c r="AN409" i="1"/>
  <c r="AN413" i="1" s="1"/>
  <c r="AN412" i="1"/>
  <c r="U346" i="1"/>
  <c r="V346" i="1" s="1"/>
  <c r="A390" i="1"/>
  <c r="O389" i="1"/>
  <c r="N390" i="1"/>
  <c r="M434" i="1"/>
  <c r="N434" i="1" s="1"/>
  <c r="O434" i="1"/>
  <c r="AN123" i="1"/>
  <c r="AZ126" i="1" s="1"/>
  <c r="AM189" i="1"/>
  <c r="BA188" i="1"/>
  <c r="AN188" i="1"/>
  <c r="AY188" i="1"/>
  <c r="AM366" i="1"/>
  <c r="BA365" i="1"/>
  <c r="AN365" i="1"/>
  <c r="AY365" i="1"/>
  <c r="X349" i="1"/>
  <c r="BF189" i="1"/>
  <c r="BT188" i="1"/>
  <c r="BG188" i="1"/>
  <c r="BR188" i="1"/>
  <c r="BB350" i="1"/>
  <c r="BD347" i="1" s="1"/>
  <c r="BB354" i="1"/>
  <c r="AO345" i="1"/>
  <c r="BA349" i="1" s="1"/>
  <c r="T433" i="1"/>
  <c r="AH432" i="1"/>
  <c r="AG433" i="1"/>
  <c r="T365" i="1"/>
  <c r="AH364" i="1"/>
  <c r="AG365" i="1"/>
  <c r="T211" i="1"/>
  <c r="AH210" i="1"/>
  <c r="AG211" i="1"/>
  <c r="E419" i="1"/>
  <c r="A419" i="1"/>
  <c r="A418" i="1"/>
  <c r="A415" i="1"/>
  <c r="A414" i="1"/>
  <c r="B414" i="1" s="1"/>
  <c r="C414" i="1" s="1"/>
  <c r="Q417" i="1"/>
  <c r="AQ119" i="1"/>
  <c r="AQ121" i="1"/>
  <c r="E351" i="1"/>
  <c r="A351" i="1"/>
  <c r="A350" i="1"/>
  <c r="A352" i="1" s="1"/>
  <c r="Q349" i="1"/>
  <c r="A346" i="1"/>
  <c r="A347" i="1"/>
  <c r="BG142" i="1"/>
  <c r="A168" i="1"/>
  <c r="O167" i="1"/>
  <c r="N168" i="1"/>
  <c r="U347" i="1"/>
  <c r="V347" i="1" s="1"/>
  <c r="T349" i="1"/>
  <c r="W351" i="1" s="1"/>
  <c r="X350" i="1" s="1"/>
  <c r="AH350" i="1"/>
  <c r="AA352" i="1"/>
  <c r="BF411" i="1"/>
  <c r="BT410" i="1"/>
  <c r="BR410" i="1"/>
  <c r="BG410" i="1"/>
  <c r="BF458" i="1"/>
  <c r="AM392" i="1"/>
  <c r="AM393" i="1"/>
  <c r="AM389" i="1"/>
  <c r="AN350" i="1"/>
  <c r="AM211" i="1"/>
  <c r="BA210" i="1"/>
  <c r="AZ211" i="1"/>
  <c r="AM458" i="1"/>
  <c r="BA457" i="1"/>
  <c r="AZ458" i="1"/>
  <c r="AM433" i="1"/>
  <c r="BA432" i="1"/>
  <c r="AZ433" i="1"/>
  <c r="U419" i="1"/>
  <c r="X413" i="1"/>
  <c r="AI417" i="1"/>
  <c r="U409" i="1"/>
  <c r="U413" i="1" s="1"/>
  <c r="U412" i="1"/>
  <c r="T143" i="1"/>
  <c r="AH142" i="1"/>
  <c r="AG143" i="1"/>
  <c r="BF434" i="1"/>
  <c r="BT433" i="1"/>
  <c r="BR433" i="1"/>
  <c r="BG433" i="1"/>
  <c r="AG126" i="1"/>
  <c r="BG351" i="1"/>
  <c r="BU349" i="1"/>
  <c r="BG341" i="1"/>
  <c r="BG345" i="1" s="1"/>
  <c r="BJ345" i="1"/>
  <c r="BG344" i="1"/>
  <c r="BU127" i="1"/>
  <c r="BJ123" i="1"/>
  <c r="BG129" i="1"/>
  <c r="BG119" i="1"/>
  <c r="BG123" i="1" s="1"/>
  <c r="BG122" i="1"/>
  <c r="BA169" i="1"/>
  <c r="AY169" i="1"/>
  <c r="AZ169" i="1" s="1"/>
  <c r="U350" i="1"/>
  <c r="AQ341" i="1"/>
  <c r="AQ343" i="1"/>
  <c r="B420" i="1"/>
  <c r="D420" i="1" s="1"/>
  <c r="E420" i="1" s="1"/>
  <c r="O421" i="1" s="1"/>
  <c r="B418" i="1"/>
  <c r="D417" i="1"/>
  <c r="AM413" i="1"/>
  <c r="AM412" i="1"/>
  <c r="AM409" i="1"/>
  <c r="AI126" i="1"/>
  <c r="V128" i="1"/>
  <c r="T353" i="1"/>
  <c r="T355" i="1" s="1"/>
  <c r="U354" i="1" s="1"/>
  <c r="V354" i="1" s="1"/>
  <c r="AN130" i="1"/>
  <c r="AP130" i="1" s="1"/>
  <c r="AQ130" i="1" s="1"/>
  <c r="BC128" i="1" s="1"/>
  <c r="AG349" i="1"/>
  <c r="AG389" i="1"/>
  <c r="AG167" i="1"/>
  <c r="AN352" i="1"/>
  <c r="AP352" i="1" s="1"/>
  <c r="AQ352" i="1" s="1"/>
  <c r="BA353" i="1" s="1"/>
  <c r="BS167" i="1"/>
  <c r="A211" i="1"/>
  <c r="O210" i="1"/>
  <c r="N211" i="1"/>
  <c r="E411" i="1"/>
  <c r="E409" i="1"/>
  <c r="T125" i="1"/>
  <c r="X129" i="1"/>
  <c r="T129" i="1"/>
  <c r="T128" i="1"/>
  <c r="T130" i="1" s="1"/>
  <c r="AJ127" i="1"/>
  <c r="T124" i="1"/>
  <c r="U124" i="1" s="1"/>
  <c r="V124" i="1" s="1"/>
  <c r="AQ129" i="1"/>
  <c r="AM129" i="1"/>
  <c r="BC127" i="1"/>
  <c r="AM125" i="1"/>
  <c r="AM128" i="1"/>
  <c r="AQ127" i="1" s="1"/>
  <c r="AM124" i="1"/>
  <c r="N235" i="1"/>
  <c r="BS389" i="1"/>
  <c r="Q350" i="1"/>
  <c r="E343" i="1"/>
  <c r="E341" i="1"/>
  <c r="BT154" i="1"/>
  <c r="W349" i="1"/>
  <c r="BS236" i="1" l="1"/>
  <c r="BR237" i="1" s="1"/>
  <c r="BS237" i="1" s="1"/>
  <c r="BT235" i="1"/>
  <c r="AN124" i="1"/>
  <c r="AO124" i="1" s="1"/>
  <c r="Q418" i="1"/>
  <c r="AP349" i="1"/>
  <c r="BB397" i="1"/>
  <c r="AO393" i="1"/>
  <c r="AO399" i="1" s="1"/>
  <c r="BB398" i="1"/>
  <c r="AN393" i="1"/>
  <c r="BS458" i="1"/>
  <c r="AN399" i="1"/>
  <c r="AQ399" i="1" s="1"/>
  <c r="AN392" i="1"/>
  <c r="AQ393" i="1"/>
  <c r="B346" i="1"/>
  <c r="C346" i="1" s="1"/>
  <c r="AN346" i="1"/>
  <c r="AO346" i="1" s="1"/>
  <c r="AO351" i="1"/>
  <c r="A416" i="1"/>
  <c r="B415" i="1" s="1"/>
  <c r="C415" i="1" s="1"/>
  <c r="C351" i="1"/>
  <c r="AO129" i="1"/>
  <c r="BA131" i="1"/>
  <c r="AR132" i="1"/>
  <c r="BA132" i="1"/>
  <c r="BA133" i="1"/>
  <c r="AR133" i="1" s="1"/>
  <c r="AI352" i="1"/>
  <c r="AI351" i="1"/>
  <c r="AI353" i="1"/>
  <c r="AH351" i="1"/>
  <c r="AI347" i="1" s="1"/>
  <c r="AT130" i="1"/>
  <c r="BA128" i="1"/>
  <c r="P421" i="1"/>
  <c r="O419" i="1"/>
  <c r="P415" i="1" s="1"/>
  <c r="BU128" i="1"/>
  <c r="BW125" i="1" s="1"/>
  <c r="BU132" i="1"/>
  <c r="BH123" i="1"/>
  <c r="BT127" i="1" s="1"/>
  <c r="BU354" i="1"/>
  <c r="BU350" i="1"/>
  <c r="BW347" i="1" s="1"/>
  <c r="BH345" i="1"/>
  <c r="BT349" i="1" s="1"/>
  <c r="BG442" i="1"/>
  <c r="BU440" i="1"/>
  <c r="BJ436" i="1"/>
  <c r="BG432" i="1"/>
  <c r="BG436" i="1" s="1"/>
  <c r="BG435" i="1"/>
  <c r="AF144" i="1"/>
  <c r="AG144" i="1" s="1"/>
  <c r="AH144" i="1"/>
  <c r="BA434" i="1"/>
  <c r="AY434" i="1"/>
  <c r="AZ434" i="1" s="1"/>
  <c r="BA212" i="1"/>
  <c r="AY212" i="1"/>
  <c r="AZ212" i="1" s="1"/>
  <c r="AQ391" i="1"/>
  <c r="AQ389" i="1"/>
  <c r="BG419" i="1"/>
  <c r="BJ413" i="1"/>
  <c r="BU417" i="1"/>
  <c r="BG409" i="1"/>
  <c r="BG412" i="1"/>
  <c r="M169" i="1"/>
  <c r="N169" i="1" s="1"/>
  <c r="O169" i="1"/>
  <c r="H352" i="1"/>
  <c r="O350" i="1"/>
  <c r="N349" i="1" s="1"/>
  <c r="A417" i="1"/>
  <c r="AF212" i="1"/>
  <c r="AG212" i="1" s="1"/>
  <c r="AH212" i="1"/>
  <c r="AH434" i="1"/>
  <c r="AF434" i="1"/>
  <c r="AG434" i="1" s="1"/>
  <c r="BJ191" i="1"/>
  <c r="BU195" i="1"/>
  <c r="BG197" i="1"/>
  <c r="BG187" i="1"/>
  <c r="BG190" i="1"/>
  <c r="AM367" i="1"/>
  <c r="AM368" i="1"/>
  <c r="AM364" i="1"/>
  <c r="AM190" i="1"/>
  <c r="AM187" i="1"/>
  <c r="AM191" i="1"/>
  <c r="A434" i="1"/>
  <c r="O433" i="1"/>
  <c r="M433" i="1"/>
  <c r="B433" i="1"/>
  <c r="P348" i="1"/>
  <c r="C350" i="1"/>
  <c r="AZ350" i="1"/>
  <c r="BA350" i="1"/>
  <c r="AZ349" i="1" s="1"/>
  <c r="AT352" i="1"/>
  <c r="AG235" i="1"/>
  <c r="BJ119" i="1"/>
  <c r="BJ121" i="1"/>
  <c r="BF350" i="1"/>
  <c r="BF352" i="1" s="1"/>
  <c r="BV349" i="1"/>
  <c r="BF347" i="1"/>
  <c r="BJ351" i="1"/>
  <c r="BF351" i="1"/>
  <c r="BF346" i="1"/>
  <c r="T187" i="1"/>
  <c r="T190" i="1"/>
  <c r="T191" i="1"/>
  <c r="X419" i="1"/>
  <c r="T419" i="1"/>
  <c r="T418" i="1"/>
  <c r="X417" i="1" s="1"/>
  <c r="AJ417" i="1"/>
  <c r="T415" i="1"/>
  <c r="T414" i="1"/>
  <c r="BT237" i="1"/>
  <c r="AZ127" i="1"/>
  <c r="AG352" i="1"/>
  <c r="Y352" i="1" s="1"/>
  <c r="AG351" i="1"/>
  <c r="AA349" i="1" s="1"/>
  <c r="AA348" i="1" s="1"/>
  <c r="T458" i="1"/>
  <c r="AH457" i="1"/>
  <c r="AG458" i="1"/>
  <c r="U128" i="1"/>
  <c r="AZ128" i="1"/>
  <c r="BF390" i="1"/>
  <c r="BT389" i="1"/>
  <c r="BS390" i="1"/>
  <c r="AG128" i="1"/>
  <c r="A236" i="1"/>
  <c r="O235" i="1"/>
  <c r="N236" i="1"/>
  <c r="AM130" i="1"/>
  <c r="T126" i="1"/>
  <c r="M212" i="1"/>
  <c r="N212" i="1" s="1"/>
  <c r="O212" i="1"/>
  <c r="AO350" i="1"/>
  <c r="BB348" i="1"/>
  <c r="T168" i="1"/>
  <c r="AH167" i="1"/>
  <c r="AG168" i="1"/>
  <c r="AO128" i="1"/>
  <c r="BB126" i="1"/>
  <c r="AQ411" i="1"/>
  <c r="AQ409" i="1"/>
  <c r="BC350" i="1"/>
  <c r="BG352" i="1"/>
  <c r="BI352" i="1" s="1"/>
  <c r="BJ352" i="1" s="1"/>
  <c r="BC397" i="1"/>
  <c r="AM399" i="1"/>
  <c r="AM398" i="1"/>
  <c r="AM395" i="1"/>
  <c r="AM394" i="1"/>
  <c r="AA350" i="1"/>
  <c r="AG353" i="1" s="1"/>
  <c r="Y350" i="1"/>
  <c r="AK355" i="1" s="1"/>
  <c r="D419" i="1"/>
  <c r="E418" i="1" s="1"/>
  <c r="N418" i="1"/>
  <c r="A420" i="1"/>
  <c r="D418" i="1" s="1"/>
  <c r="E422" i="1" s="1"/>
  <c r="BF187" i="1"/>
  <c r="BF191" i="1"/>
  <c r="BF190" i="1"/>
  <c r="AN420" i="1"/>
  <c r="AP420" i="1" s="1"/>
  <c r="AQ420" i="1" s="1"/>
  <c r="BC418" i="1" s="1"/>
  <c r="O353" i="1"/>
  <c r="BH151" i="1"/>
  <c r="BU149" i="1"/>
  <c r="BV350" i="1"/>
  <c r="BJ341" i="1"/>
  <c r="BJ343" i="1"/>
  <c r="E191" i="1"/>
  <c r="P195" i="1"/>
  <c r="B197" i="1"/>
  <c r="B187" i="1"/>
  <c r="B190" i="1"/>
  <c r="P127" i="1"/>
  <c r="E123" i="1"/>
  <c r="B129" i="1"/>
  <c r="B119" i="1"/>
  <c r="B123" i="1" s="1"/>
  <c r="B122" i="1"/>
  <c r="B350" i="1"/>
  <c r="D349" i="1"/>
  <c r="BT212" i="1"/>
  <c r="BR212" i="1"/>
  <c r="BS212" i="1" s="1"/>
  <c r="AM126" i="1"/>
  <c r="AH128" i="1"/>
  <c r="AA130" i="1"/>
  <c r="T390" i="1"/>
  <c r="AH389" i="1"/>
  <c r="AG390" i="1"/>
  <c r="AZ416" i="1"/>
  <c r="P416" i="1"/>
  <c r="C418" i="1"/>
  <c r="X127" i="1"/>
  <c r="BF436" i="1"/>
  <c r="BF435" i="1"/>
  <c r="BF432" i="1"/>
  <c r="U420" i="1"/>
  <c r="W420" i="1" s="1"/>
  <c r="X420" i="1" s="1"/>
  <c r="AH421" i="1" s="1"/>
  <c r="AY459" i="1"/>
  <c r="AZ459" i="1" s="1"/>
  <c r="BA459" i="1"/>
  <c r="BB353" i="1"/>
  <c r="BA351" i="1"/>
  <c r="BB347" i="1" s="1"/>
  <c r="AQ397" i="1"/>
  <c r="BF413" i="1"/>
  <c r="BF412" i="1"/>
  <c r="BF409" i="1"/>
  <c r="Y353" i="1"/>
  <c r="U349" i="1"/>
  <c r="V349" i="1" s="1"/>
  <c r="A348" i="1"/>
  <c r="N350" i="1"/>
  <c r="AH366" i="1"/>
  <c r="AF366" i="1"/>
  <c r="AG366" i="1" s="1"/>
  <c r="AN128" i="1"/>
  <c r="AP127" i="1"/>
  <c r="O391" i="1"/>
  <c r="M391" i="1"/>
  <c r="N391" i="1" s="1"/>
  <c r="AO413" i="1"/>
  <c r="BA417" i="1" s="1"/>
  <c r="BB418" i="1"/>
  <c r="BD415" i="1" s="1"/>
  <c r="BB422" i="1"/>
  <c r="AM348" i="1"/>
  <c r="AM352" i="1"/>
  <c r="V129" i="1"/>
  <c r="BS126" i="1"/>
  <c r="E349" i="1"/>
  <c r="BT366" i="1"/>
  <c r="BR366" i="1"/>
  <c r="BS366" i="1" s="1"/>
  <c r="E417" i="1"/>
  <c r="AI195" i="1"/>
  <c r="U197" i="1"/>
  <c r="X191" i="1"/>
  <c r="U187" i="1"/>
  <c r="U191" i="1" s="1"/>
  <c r="U190" i="1"/>
  <c r="AJ418" i="1"/>
  <c r="X409" i="1"/>
  <c r="X411" i="1"/>
  <c r="AN152" i="1"/>
  <c r="BB150" i="1"/>
  <c r="AQ146" i="1"/>
  <c r="AN142" i="1"/>
  <c r="AN146" i="1" s="1"/>
  <c r="AN145" i="1"/>
  <c r="BV150" i="1"/>
  <c r="BF147" i="1"/>
  <c r="BJ152" i="1"/>
  <c r="BF152" i="1"/>
  <c r="BF151" i="1"/>
  <c r="BF148" i="1"/>
  <c r="A366" i="1"/>
  <c r="O365" i="1"/>
  <c r="B365" i="1"/>
  <c r="M365" i="1"/>
  <c r="C419" i="1"/>
  <c r="M144" i="1"/>
  <c r="N144" i="1" s="1"/>
  <c r="O144" i="1"/>
  <c r="AQ349" i="1"/>
  <c r="BB402" i="1"/>
  <c r="BF168" i="1"/>
  <c r="BT167" i="1"/>
  <c r="BS168" i="1"/>
  <c r="AQ419" i="1"/>
  <c r="AM419" i="1"/>
  <c r="AM414" i="1"/>
  <c r="BC417" i="1"/>
  <c r="AM418" i="1"/>
  <c r="AM420" i="1" s="1"/>
  <c r="AM415" i="1"/>
  <c r="AM169" i="1"/>
  <c r="BA168" i="1"/>
  <c r="AN168" i="1"/>
  <c r="AY168" i="1"/>
  <c r="BG130" i="1"/>
  <c r="BI130" i="1" s="1"/>
  <c r="BJ130" i="1" s="1"/>
  <c r="BG128" i="1"/>
  <c r="BI127" i="1"/>
  <c r="BI349" i="1"/>
  <c r="AI418" i="1"/>
  <c r="AK415" i="1" s="1"/>
  <c r="AI422" i="1"/>
  <c r="V413" i="1"/>
  <c r="AH417" i="1" s="1"/>
  <c r="BT459" i="1"/>
  <c r="BR459" i="1"/>
  <c r="BS459" i="1" s="1"/>
  <c r="BU155" i="1"/>
  <c r="BU151" i="1"/>
  <c r="BH146" i="1"/>
  <c r="BT150" i="1" s="1"/>
  <c r="BG146" i="1"/>
  <c r="O418" i="1"/>
  <c r="N417" i="1" s="1"/>
  <c r="H420" i="1"/>
  <c r="Y354" i="1"/>
  <c r="AH352" i="1"/>
  <c r="AH354" i="1"/>
  <c r="AH355" i="1"/>
  <c r="Y355" i="1" s="1"/>
  <c r="AN374" i="1"/>
  <c r="BB372" i="1"/>
  <c r="AQ368" i="1"/>
  <c r="AN364" i="1"/>
  <c r="AN368" i="1" s="1"/>
  <c r="AN367" i="1"/>
  <c r="BB195" i="1"/>
  <c r="AQ191" i="1"/>
  <c r="AN197" i="1"/>
  <c r="AN187" i="1"/>
  <c r="AN190" i="1"/>
  <c r="AY237" i="1"/>
  <c r="AZ237" i="1" s="1"/>
  <c r="BA237" i="1"/>
  <c r="A458" i="1"/>
  <c r="O457" i="1"/>
  <c r="N458" i="1"/>
  <c r="BJ129" i="1"/>
  <c r="BF129" i="1"/>
  <c r="BF124" i="1"/>
  <c r="BF128" i="1"/>
  <c r="BJ127" i="1" s="1"/>
  <c r="BV127" i="1"/>
  <c r="BF125" i="1"/>
  <c r="BS348" i="1"/>
  <c r="AG416" i="1"/>
  <c r="A191" i="1"/>
  <c r="A190" i="1"/>
  <c r="A187" i="1"/>
  <c r="A123" i="1"/>
  <c r="A122" i="1"/>
  <c r="A119" i="1"/>
  <c r="AM145" i="1"/>
  <c r="AM142" i="1"/>
  <c r="AM146" i="1"/>
  <c r="BJ142" i="1"/>
  <c r="BV151" i="1"/>
  <c r="BJ144" i="1"/>
  <c r="W350" i="1"/>
  <c r="X354" i="1" s="1"/>
  <c r="W127" i="1"/>
  <c r="U353" i="1"/>
  <c r="V353" i="1" s="1"/>
  <c r="BF126" i="1" l="1"/>
  <c r="BF127" i="1" s="1"/>
  <c r="BI129" i="1" s="1"/>
  <c r="BJ128" i="1" s="1"/>
  <c r="AN398" i="1"/>
  <c r="BJ349" i="1"/>
  <c r="AZ396" i="1"/>
  <c r="AP397" i="1"/>
  <c r="BB401" i="1" s="1"/>
  <c r="BG350" i="1"/>
  <c r="BA397" i="1"/>
  <c r="BF348" i="1"/>
  <c r="BF349" i="1" s="1"/>
  <c r="AN400" i="1"/>
  <c r="AP400" i="1" s="1"/>
  <c r="AQ400" i="1" s="1"/>
  <c r="BA401" i="1" s="1"/>
  <c r="AM396" i="1"/>
  <c r="AM402" i="1" s="1"/>
  <c r="AM416" i="1"/>
  <c r="AM421" i="1" s="1"/>
  <c r="T416" i="1"/>
  <c r="A421" i="1"/>
  <c r="A422" i="1"/>
  <c r="BF130" i="1"/>
  <c r="BH129" i="1"/>
  <c r="BG147" i="1"/>
  <c r="BH147" i="1" s="1"/>
  <c r="BT132" i="1"/>
  <c r="BK132" i="1"/>
  <c r="BT133" i="1"/>
  <c r="BK133" i="1" s="1"/>
  <c r="BG125" i="1"/>
  <c r="BH125" i="1" s="1"/>
  <c r="AZ149" i="1"/>
  <c r="E189" i="1"/>
  <c r="E187" i="1"/>
  <c r="Y422" i="1"/>
  <c r="AH422" i="1"/>
  <c r="BM130" i="1"/>
  <c r="BT128" i="1"/>
  <c r="AN198" i="1"/>
  <c r="AP198" i="1" s="1"/>
  <c r="AQ198" i="1" s="1"/>
  <c r="BA199" i="1" s="1"/>
  <c r="AK351" i="1"/>
  <c r="AK346" i="1"/>
  <c r="BU126" i="1"/>
  <c r="BH128" i="1"/>
  <c r="AM170" i="1"/>
  <c r="AM167" i="1"/>
  <c r="AM171" i="1"/>
  <c r="AZ418" i="1"/>
  <c r="AN414" i="1"/>
  <c r="AO414" i="1" s="1"/>
  <c r="BM153" i="1"/>
  <c r="BT151" i="1"/>
  <c r="BF366" i="1"/>
  <c r="BT365" i="1"/>
  <c r="BG365" i="1"/>
  <c r="BR365" i="1"/>
  <c r="AO419" i="1"/>
  <c r="Y132" i="1"/>
  <c r="AH132" i="1"/>
  <c r="AH133" i="1"/>
  <c r="Y133" i="1" s="1"/>
  <c r="AN125" i="1"/>
  <c r="AO125" i="1" s="1"/>
  <c r="AM127" i="1"/>
  <c r="AM132" i="1"/>
  <c r="AM131" i="1"/>
  <c r="BF212" i="1"/>
  <c r="BT211" i="1"/>
  <c r="BR211" i="1"/>
  <c r="BG211" i="1"/>
  <c r="P132" i="1"/>
  <c r="P128" i="1"/>
  <c r="R125" i="1" s="1"/>
  <c r="C123" i="1"/>
  <c r="O127" i="1" s="1"/>
  <c r="BA421" i="1"/>
  <c r="N420" i="1"/>
  <c r="F420" i="1" s="1"/>
  <c r="N419" i="1"/>
  <c r="H417" i="1" s="1"/>
  <c r="H416" i="1" s="1"/>
  <c r="BU348" i="1"/>
  <c r="BH350" i="1"/>
  <c r="U125" i="1"/>
  <c r="V125" i="1" s="1"/>
  <c r="T127" i="1"/>
  <c r="T132" i="1"/>
  <c r="T131" i="1"/>
  <c r="AF459" i="1"/>
  <c r="AG459" i="1" s="1"/>
  <c r="AH459" i="1"/>
  <c r="AG418" i="1"/>
  <c r="BG347" i="1"/>
  <c r="BH347" i="1" s="1"/>
  <c r="A436" i="1"/>
  <c r="A435" i="1"/>
  <c r="A432" i="1"/>
  <c r="BG198" i="1"/>
  <c r="BI198" i="1" s="1"/>
  <c r="BJ198" i="1" s="1"/>
  <c r="BT199" i="1" s="1"/>
  <c r="T212" i="1"/>
  <c r="AH211" i="1"/>
  <c r="AF211" i="1"/>
  <c r="U211" i="1"/>
  <c r="BU422" i="1"/>
  <c r="BH413" i="1"/>
  <c r="BT417" i="1" s="1"/>
  <c r="BU418" i="1"/>
  <c r="BW415" i="1" s="1"/>
  <c r="T144" i="1"/>
  <c r="AH143" i="1"/>
  <c r="AF143" i="1"/>
  <c r="U143" i="1"/>
  <c r="W417" i="1"/>
  <c r="N126" i="1"/>
  <c r="A124" i="1"/>
  <c r="E129" i="1"/>
  <c r="A129" i="1"/>
  <c r="A128" i="1"/>
  <c r="E127" i="1" s="1"/>
  <c r="A125" i="1"/>
  <c r="Q127" i="1"/>
  <c r="E121" i="1"/>
  <c r="E119" i="1"/>
  <c r="BK354" i="1"/>
  <c r="BT354" i="1"/>
  <c r="BS128" i="1"/>
  <c r="AO191" i="1"/>
  <c r="BA195" i="1" s="1"/>
  <c r="BB196" i="1"/>
  <c r="BD193" i="1" s="1"/>
  <c r="BB200" i="1"/>
  <c r="AN191" i="1"/>
  <c r="F418" i="1"/>
  <c r="H418" i="1"/>
  <c r="N421" i="1" s="1"/>
  <c r="BI150" i="1"/>
  <c r="BG151" i="1"/>
  <c r="V419" i="1"/>
  <c r="AH423" i="1"/>
  <c r="Y423" i="1" s="1"/>
  <c r="BU353" i="1"/>
  <c r="BT351" i="1"/>
  <c r="BU347" i="1" s="1"/>
  <c r="BT131" i="1"/>
  <c r="AT420" i="1"/>
  <c r="BA418" i="1"/>
  <c r="AZ417" i="1" s="1"/>
  <c r="BF149" i="1"/>
  <c r="AN153" i="1"/>
  <c r="AP153" i="1" s="1"/>
  <c r="AQ153" i="1" s="1"/>
  <c r="U198" i="1"/>
  <c r="W198" i="1" s="1"/>
  <c r="X198" i="1" s="1"/>
  <c r="A391" i="1"/>
  <c r="O390" i="1"/>
  <c r="M390" i="1"/>
  <c r="B390" i="1"/>
  <c r="N352" i="1"/>
  <c r="F352" i="1" s="1"/>
  <c r="N351" i="1"/>
  <c r="H349" i="1" s="1"/>
  <c r="H348" i="1" s="1"/>
  <c r="BF418" i="1"/>
  <c r="BF415" i="1"/>
  <c r="BJ419" i="1"/>
  <c r="BF419" i="1"/>
  <c r="BV417" i="1"/>
  <c r="BF414" i="1"/>
  <c r="BG414" i="1" s="1"/>
  <c r="BH414" i="1" s="1"/>
  <c r="BJ434" i="1"/>
  <c r="BJ432" i="1"/>
  <c r="W346" i="1"/>
  <c r="X346" i="1" s="1"/>
  <c r="Y346" i="1" s="1"/>
  <c r="BS149" i="1"/>
  <c r="B128" i="1"/>
  <c r="D127" i="1"/>
  <c r="B198" i="1"/>
  <c r="D198" i="1" s="1"/>
  <c r="E198" i="1" s="1"/>
  <c r="AP417" i="1"/>
  <c r="P420" i="1"/>
  <c r="P419" i="1"/>
  <c r="AN394" i="1"/>
  <c r="AO394" i="1" s="1"/>
  <c r="AT400" i="1"/>
  <c r="BA398" i="1"/>
  <c r="BT353" i="1"/>
  <c r="AF169" i="1"/>
  <c r="AG169" i="1" s="1"/>
  <c r="AH169" i="1"/>
  <c r="AG130" i="1"/>
  <c r="Y130" i="1" s="1"/>
  <c r="AZ129" i="1"/>
  <c r="AT127" i="1" s="1"/>
  <c r="AT126" i="1" s="1"/>
  <c r="AZ130" i="1"/>
  <c r="AR130" i="1" s="1"/>
  <c r="BF237" i="1"/>
  <c r="BT236" i="1"/>
  <c r="BR236" i="1"/>
  <c r="BG236" i="1"/>
  <c r="U414" i="1"/>
  <c r="V414" i="1" s="1"/>
  <c r="X197" i="1"/>
  <c r="T197" i="1"/>
  <c r="T196" i="1"/>
  <c r="T198" i="1" s="1"/>
  <c r="AJ195" i="1"/>
  <c r="T193" i="1"/>
  <c r="T192" i="1"/>
  <c r="BG346" i="1"/>
  <c r="BH346" i="1" s="1"/>
  <c r="BV128" i="1"/>
  <c r="AR350" i="1"/>
  <c r="AT350" i="1"/>
  <c r="AZ353" i="1" s="1"/>
  <c r="AQ366" i="1"/>
  <c r="AQ364" i="1"/>
  <c r="BU196" i="1"/>
  <c r="BW193" i="1" s="1"/>
  <c r="BU200" i="1"/>
  <c r="BH191" i="1"/>
  <c r="BT195" i="1" s="1"/>
  <c r="BG191" i="1"/>
  <c r="F421" i="1"/>
  <c r="B417" i="1"/>
  <c r="C417" i="1" s="1"/>
  <c r="AM434" i="1"/>
  <c r="BA433" i="1"/>
  <c r="AN433" i="1"/>
  <c r="AY433" i="1"/>
  <c r="BG443" i="1"/>
  <c r="BI443" i="1" s="1"/>
  <c r="BJ443" i="1" s="1"/>
  <c r="BT355" i="1"/>
  <c r="BK355" i="1" s="1"/>
  <c r="AT128" i="1"/>
  <c r="AZ131" i="1" s="1"/>
  <c r="AR128" i="1"/>
  <c r="U418" i="1"/>
  <c r="E197" i="1"/>
  <c r="A197" i="1"/>
  <c r="A196" i="1"/>
  <c r="A193" i="1"/>
  <c r="A192" i="1"/>
  <c r="Q195" i="1"/>
  <c r="O459" i="1"/>
  <c r="M459" i="1"/>
  <c r="N459" i="1" s="1"/>
  <c r="AM237" i="1"/>
  <c r="BA236" i="1"/>
  <c r="AN236" i="1"/>
  <c r="AY236" i="1"/>
  <c r="AN375" i="1"/>
  <c r="AP375" i="1" s="1"/>
  <c r="AQ375" i="1" s="1"/>
  <c r="BA376" i="1" s="1"/>
  <c r="BS150" i="1"/>
  <c r="BH152" i="1"/>
  <c r="BF459" i="1"/>
  <c r="BT458" i="1"/>
  <c r="BG458" i="1"/>
  <c r="BR458" i="1"/>
  <c r="BU131" i="1"/>
  <c r="BT129" i="1"/>
  <c r="BU125" i="1" s="1"/>
  <c r="AR354" i="1"/>
  <c r="BA354" i="1"/>
  <c r="BA355" i="1"/>
  <c r="AR355" i="1" s="1"/>
  <c r="B374" i="1"/>
  <c r="E368" i="1"/>
  <c r="P372" i="1"/>
  <c r="B364" i="1"/>
  <c r="B368" i="1" s="1"/>
  <c r="B367" i="1"/>
  <c r="BS151" i="1"/>
  <c r="BF153" i="1"/>
  <c r="BB155" i="1"/>
  <c r="AO146" i="1"/>
  <c r="BA150" i="1" s="1"/>
  <c r="BB151" i="1"/>
  <c r="AI196" i="1"/>
  <c r="AK193" i="1" s="1"/>
  <c r="AI200" i="1"/>
  <c r="V191" i="1"/>
  <c r="AH195" i="1" s="1"/>
  <c r="O354" i="1"/>
  <c r="F354" i="1"/>
  <c r="O355" i="1"/>
  <c r="F355" i="1" s="1"/>
  <c r="AR402" i="1"/>
  <c r="BA402" i="1"/>
  <c r="BA403" i="1"/>
  <c r="AR403" i="1" s="1"/>
  <c r="AM459" i="1"/>
  <c r="BA458" i="1"/>
  <c r="AY458" i="1"/>
  <c r="AN458" i="1"/>
  <c r="BS439" i="1"/>
  <c r="AH391" i="1"/>
  <c r="AF391" i="1"/>
  <c r="AG391" i="1" s="1"/>
  <c r="Y128" i="1"/>
  <c r="P353" i="1"/>
  <c r="O351" i="1"/>
  <c r="P347" i="1" s="1"/>
  <c r="BJ150" i="1"/>
  <c r="P200" i="1"/>
  <c r="C191" i="1"/>
  <c r="O195" i="1" s="1"/>
  <c r="P196" i="1"/>
  <c r="R193" i="1" s="1"/>
  <c r="AN418" i="1"/>
  <c r="BJ197" i="1"/>
  <c r="BF197" i="1"/>
  <c r="BV195" i="1"/>
  <c r="BF192" i="1"/>
  <c r="BF196" i="1"/>
  <c r="BF198" i="1" s="1"/>
  <c r="BF193" i="1"/>
  <c r="BF194" i="1" s="1"/>
  <c r="AM397" i="1"/>
  <c r="BA400" i="1" s="1"/>
  <c r="A212" i="1"/>
  <c r="O211" i="1"/>
  <c r="M211" i="1"/>
  <c r="B211" i="1"/>
  <c r="O237" i="1"/>
  <c r="M237" i="1"/>
  <c r="N237" i="1" s="1"/>
  <c r="U415" i="1"/>
  <c r="V415" i="1" s="1"/>
  <c r="T417" i="1"/>
  <c r="T420" i="1"/>
  <c r="AG194" i="1"/>
  <c r="BM352" i="1"/>
  <c r="BT350" i="1"/>
  <c r="BS349" i="1" s="1"/>
  <c r="BF131" i="1"/>
  <c r="AZ351" i="1"/>
  <c r="AT349" i="1" s="1"/>
  <c r="AT348" i="1" s="1"/>
  <c r="AZ352" i="1"/>
  <c r="AR352" i="1" s="1"/>
  <c r="P440" i="1"/>
  <c r="B442" i="1"/>
  <c r="B432" i="1"/>
  <c r="B436" i="1" s="1"/>
  <c r="E436" i="1"/>
  <c r="B435" i="1"/>
  <c r="AQ197" i="1"/>
  <c r="AM197" i="1"/>
  <c r="AM192" i="1"/>
  <c r="BC195" i="1"/>
  <c r="AM196" i="1"/>
  <c r="AQ195" i="1" s="1"/>
  <c r="AM193" i="1"/>
  <c r="AM194" i="1" s="1"/>
  <c r="BC372" i="1"/>
  <c r="AQ374" i="1"/>
  <c r="AM374" i="1"/>
  <c r="AM373" i="1"/>
  <c r="AQ372" i="1" s="1"/>
  <c r="AM370" i="1"/>
  <c r="AM369" i="1"/>
  <c r="T434" i="1"/>
  <c r="AH433" i="1"/>
  <c r="U433" i="1"/>
  <c r="AF433" i="1"/>
  <c r="A169" i="1"/>
  <c r="O168" i="1"/>
  <c r="M168" i="1"/>
  <c r="B168" i="1"/>
  <c r="AA351" i="1"/>
  <c r="AA353" i="1" s="1"/>
  <c r="AK354" i="1"/>
  <c r="AI131" i="1"/>
  <c r="AH129" i="1"/>
  <c r="AI125" i="1" s="1"/>
  <c r="BC150" i="1"/>
  <c r="AQ152" i="1"/>
  <c r="AM152" i="1"/>
  <c r="AM151" i="1"/>
  <c r="AM148" i="1"/>
  <c r="AM147" i="1"/>
  <c r="BC151" i="1"/>
  <c r="AQ142" i="1"/>
  <c r="AQ144" i="1"/>
  <c r="BG124" i="1"/>
  <c r="BH124" i="1" s="1"/>
  <c r="BB377" i="1"/>
  <c r="AO368" i="1"/>
  <c r="BA372" i="1" s="1"/>
  <c r="BB373" i="1"/>
  <c r="AN177" i="1"/>
  <c r="BB175" i="1"/>
  <c r="AQ171" i="1"/>
  <c r="AN167" i="1"/>
  <c r="AN171" i="1" s="1"/>
  <c r="AN170" i="1"/>
  <c r="AN415" i="1"/>
  <c r="AO415" i="1" s="1"/>
  <c r="AM417" i="1"/>
  <c r="BT169" i="1"/>
  <c r="BR169" i="1"/>
  <c r="BS169" i="1" s="1"/>
  <c r="A144" i="1"/>
  <c r="O143" i="1"/>
  <c r="B143" i="1"/>
  <c r="M143" i="1"/>
  <c r="A368" i="1"/>
  <c r="A367" i="1"/>
  <c r="A364" i="1"/>
  <c r="F422" i="1"/>
  <c r="O420" i="1"/>
  <c r="O422" i="1"/>
  <c r="O423" i="1"/>
  <c r="F423" i="1" s="1"/>
  <c r="AN347" i="1"/>
  <c r="AO347" i="1" s="1"/>
  <c r="AM349" i="1"/>
  <c r="BA352" i="1" s="1"/>
  <c r="AM354" i="1"/>
  <c r="AM353" i="1"/>
  <c r="BB131" i="1"/>
  <c r="BA129" i="1"/>
  <c r="BB125" i="1" s="1"/>
  <c r="T366" i="1"/>
  <c r="AH365" i="1"/>
  <c r="U365" i="1"/>
  <c r="AF365" i="1"/>
  <c r="B347" i="1"/>
  <c r="C347" i="1" s="1"/>
  <c r="A349" i="1"/>
  <c r="O352" i="1" s="1"/>
  <c r="A354" i="1"/>
  <c r="A353" i="1"/>
  <c r="BJ411" i="1"/>
  <c r="BJ409" i="1"/>
  <c r="V418" i="1"/>
  <c r="AI416" i="1"/>
  <c r="BV440" i="1"/>
  <c r="BJ442" i="1"/>
  <c r="BF442" i="1"/>
  <c r="BF441" i="1"/>
  <c r="BF438" i="1"/>
  <c r="BF437" i="1"/>
  <c r="AQ417" i="1"/>
  <c r="B130" i="1"/>
  <c r="D130" i="1" s="1"/>
  <c r="E130" i="1" s="1"/>
  <c r="O131" i="1" s="1"/>
  <c r="B191" i="1"/>
  <c r="N194" i="1" s="1"/>
  <c r="AG127" i="1"/>
  <c r="AG129" i="1" s="1"/>
  <c r="AA127" i="1" s="1"/>
  <c r="AA126" i="1" s="1"/>
  <c r="AO418" i="1"/>
  <c r="BB416" i="1"/>
  <c r="BJ187" i="1"/>
  <c r="BV196" i="1"/>
  <c r="BJ189" i="1"/>
  <c r="BF200" i="1"/>
  <c r="BF199" i="1"/>
  <c r="AP399" i="1"/>
  <c r="AQ398" i="1" s="1"/>
  <c r="AZ398" i="1"/>
  <c r="AM400" i="1"/>
  <c r="AM422" i="1"/>
  <c r="AN421" i="1" s="1"/>
  <c r="AO421" i="1" s="1"/>
  <c r="BT391" i="1"/>
  <c r="BR391" i="1"/>
  <c r="BS391" i="1" s="1"/>
  <c r="AA420" i="1"/>
  <c r="AH418" i="1"/>
  <c r="X187" i="1"/>
  <c r="AJ196" i="1"/>
  <c r="X189" i="1"/>
  <c r="BS350" i="1"/>
  <c r="BF132" i="1"/>
  <c r="BG131" i="1" s="1"/>
  <c r="BH131" i="1" s="1"/>
  <c r="T236" i="1"/>
  <c r="AH235" i="1"/>
  <c r="AG236" i="1"/>
  <c r="BC196" i="1"/>
  <c r="AQ187" i="1"/>
  <c r="AM200" i="1"/>
  <c r="AM199" i="1"/>
  <c r="AQ189" i="1"/>
  <c r="AZ371" i="1"/>
  <c r="F350" i="1"/>
  <c r="H350" i="1"/>
  <c r="N353" i="1" s="1"/>
  <c r="BG420" i="1"/>
  <c r="BI420" i="1" s="1"/>
  <c r="BJ420" i="1" s="1"/>
  <c r="BV418" i="1" s="1"/>
  <c r="BG413" i="1"/>
  <c r="AM401" i="1"/>
  <c r="AM212" i="1"/>
  <c r="BA211" i="1"/>
  <c r="AY211" i="1"/>
  <c r="AN211" i="1"/>
  <c r="BU445" i="1"/>
  <c r="BU441" i="1"/>
  <c r="BH436" i="1"/>
  <c r="BT440" i="1" s="1"/>
  <c r="BH351" i="1"/>
  <c r="BS127" i="1"/>
  <c r="AN199" i="1" l="1"/>
  <c r="AO199" i="1" s="1"/>
  <c r="X195" i="1"/>
  <c r="AH201" i="1" s="1"/>
  <c r="Y201" i="1" s="1"/>
  <c r="R345" i="1"/>
  <c r="B421" i="1"/>
  <c r="C421" i="1" s="1"/>
  <c r="B353" i="1"/>
  <c r="C353" i="1" s="1"/>
  <c r="BT352" i="1"/>
  <c r="BA399" i="1"/>
  <c r="BB395" i="1" s="1"/>
  <c r="BI351" i="1"/>
  <c r="BJ350" i="1" s="1"/>
  <c r="AN395" i="1"/>
  <c r="AO395" i="1" s="1"/>
  <c r="BB396" i="1"/>
  <c r="BC398" i="1"/>
  <c r="AO398" i="1"/>
  <c r="BF353" i="1"/>
  <c r="BF354" i="1"/>
  <c r="BD345" i="1"/>
  <c r="AM403" i="1"/>
  <c r="AN402" i="1" s="1"/>
  <c r="AO402" i="1" s="1"/>
  <c r="AN353" i="1"/>
  <c r="AO353" i="1" s="1"/>
  <c r="B192" i="1"/>
  <c r="C192" i="1" s="1"/>
  <c r="AN131" i="1"/>
  <c r="AO131" i="1" s="1"/>
  <c r="T422" i="1"/>
  <c r="T421" i="1"/>
  <c r="AN369" i="1"/>
  <c r="AO369" i="1" s="1"/>
  <c r="BF439" i="1"/>
  <c r="BG438" i="1" s="1"/>
  <c r="BH438" i="1" s="1"/>
  <c r="AP398" i="1"/>
  <c r="AQ402" i="1" s="1"/>
  <c r="AO374" i="1"/>
  <c r="A423" i="1"/>
  <c r="B422" i="1" s="1"/>
  <c r="C422" i="1" s="1"/>
  <c r="D414" i="1" s="1"/>
  <c r="E414" i="1" s="1"/>
  <c r="F414" i="1" s="1"/>
  <c r="G414" i="1" s="1"/>
  <c r="T194" i="1"/>
  <c r="C129" i="1"/>
  <c r="AN147" i="1"/>
  <c r="AO147" i="1" s="1"/>
  <c r="AM198" i="1"/>
  <c r="BG199" i="1"/>
  <c r="BH199" i="1" s="1"/>
  <c r="BD127" i="1"/>
  <c r="BD129" i="1" s="1"/>
  <c r="B124" i="1"/>
  <c r="C124" i="1" s="1"/>
  <c r="U131" i="1"/>
  <c r="V131" i="1" s="1"/>
  <c r="AR200" i="1"/>
  <c r="BA200" i="1"/>
  <c r="BA201" i="1"/>
  <c r="AR201" i="1" s="1"/>
  <c r="AK197" i="1"/>
  <c r="F132" i="1"/>
  <c r="O132" i="1"/>
  <c r="O133" i="1"/>
  <c r="F133" i="1" s="1"/>
  <c r="BT421" i="1"/>
  <c r="AR377" i="1"/>
  <c r="BA377" i="1"/>
  <c r="AM213" i="1"/>
  <c r="AM210" i="1"/>
  <c r="AM214" i="1"/>
  <c r="BI417" i="1"/>
  <c r="BG418" i="1"/>
  <c r="BS351" i="1"/>
  <c r="BM349" i="1" s="1"/>
  <c r="BM348" i="1" s="1"/>
  <c r="BS352" i="1"/>
  <c r="BK352" i="1" s="1"/>
  <c r="Y418" i="1"/>
  <c r="BF201" i="1"/>
  <c r="BG200" i="1" s="1"/>
  <c r="BH200" i="1" s="1"/>
  <c r="C128" i="1"/>
  <c r="P126" i="1"/>
  <c r="A355" i="1"/>
  <c r="B354" i="1" s="1"/>
  <c r="C354" i="1" s="1"/>
  <c r="D346" i="1" s="1"/>
  <c r="E346" i="1" s="1"/>
  <c r="F346" i="1" s="1"/>
  <c r="N371" i="1"/>
  <c r="A146" i="1"/>
  <c r="A145" i="1"/>
  <c r="A142" i="1"/>
  <c r="AR421" i="1"/>
  <c r="AN417" i="1"/>
  <c r="AO417" i="1" s="1"/>
  <c r="AZ151" i="1"/>
  <c r="AM153" i="1"/>
  <c r="AZ373" i="1"/>
  <c r="AM375" i="1"/>
  <c r="AT198" i="1"/>
  <c r="BA196" i="1"/>
  <c r="AZ195" i="1" s="1"/>
  <c r="P445" i="1"/>
  <c r="P441" i="1"/>
  <c r="C436" i="1"/>
  <c r="O440" i="1" s="1"/>
  <c r="BM350" i="1"/>
  <c r="BS353" i="1" s="1"/>
  <c r="BK350" i="1"/>
  <c r="E214" i="1"/>
  <c r="P218" i="1"/>
  <c r="B220" i="1"/>
  <c r="B210" i="1"/>
  <c r="B214" i="1" s="1"/>
  <c r="B213" i="1"/>
  <c r="AA128" i="1"/>
  <c r="AG131" i="1" s="1"/>
  <c r="AN467" i="1"/>
  <c r="BB465" i="1"/>
  <c r="AN457" i="1"/>
  <c r="AN461" i="1" s="1"/>
  <c r="AQ461" i="1"/>
  <c r="AN460" i="1"/>
  <c r="V197" i="1"/>
  <c r="B375" i="1"/>
  <c r="D375" i="1" s="1"/>
  <c r="E375" i="1" s="1"/>
  <c r="O376" i="1" s="1"/>
  <c r="BF457" i="1"/>
  <c r="BF461" i="1"/>
  <c r="BF460" i="1"/>
  <c r="BB371" i="1"/>
  <c r="AO373" i="1"/>
  <c r="AN235" i="1"/>
  <c r="AN239" i="1" s="1"/>
  <c r="AN245" i="1"/>
  <c r="BB243" i="1"/>
  <c r="AQ239" i="1"/>
  <c r="AN238" i="1"/>
  <c r="N196" i="1"/>
  <c r="A198" i="1"/>
  <c r="AN442" i="1"/>
  <c r="BB440" i="1"/>
  <c r="AQ436" i="1"/>
  <c r="AN432" i="1"/>
  <c r="AN436" i="1" s="1"/>
  <c r="AN435" i="1"/>
  <c r="BI195" i="1"/>
  <c r="BG196" i="1"/>
  <c r="BH197" i="1"/>
  <c r="BC373" i="1"/>
  <c r="U192" i="1"/>
  <c r="V192" i="1" s="1"/>
  <c r="AR398" i="1"/>
  <c r="AZ397" i="1"/>
  <c r="AT398" i="1" s="1"/>
  <c r="AZ401" i="1" s="1"/>
  <c r="BF416" i="1"/>
  <c r="A393" i="1"/>
  <c r="A392" i="1"/>
  <c r="A389" i="1"/>
  <c r="AK419" i="1"/>
  <c r="BS130" i="1"/>
  <c r="BK130" i="1" s="1"/>
  <c r="BS129" i="1"/>
  <c r="BM127" i="1" s="1"/>
  <c r="BM126" i="1" s="1"/>
  <c r="A126" i="1"/>
  <c r="BH419" i="1"/>
  <c r="U220" i="1"/>
  <c r="AI218" i="1"/>
  <c r="X214" i="1"/>
  <c r="U210" i="1"/>
  <c r="U213" i="1"/>
  <c r="BK353" i="1"/>
  <c r="BG349" i="1"/>
  <c r="BH349" i="1" s="1"/>
  <c r="AZ420" i="1"/>
  <c r="AR420" i="1" s="1"/>
  <c r="AZ419" i="1"/>
  <c r="AT417" i="1" s="1"/>
  <c r="AT416" i="1" s="1"/>
  <c r="BI128" i="1"/>
  <c r="BJ132" i="1" s="1"/>
  <c r="BG441" i="1"/>
  <c r="BW129" i="1"/>
  <c r="BI350" i="1"/>
  <c r="BJ354" i="1" s="1"/>
  <c r="BH442" i="1"/>
  <c r="BU416" i="1"/>
  <c r="BH418" i="1"/>
  <c r="AF237" i="1"/>
  <c r="AG237" i="1" s="1"/>
  <c r="AH237" i="1"/>
  <c r="BU352" i="1"/>
  <c r="BU351" i="1"/>
  <c r="BS441" i="1"/>
  <c r="BF443" i="1"/>
  <c r="E353" i="1"/>
  <c r="X368" i="1"/>
  <c r="U374" i="1"/>
  <c r="AI372" i="1"/>
  <c r="U364" i="1"/>
  <c r="U367" i="1"/>
  <c r="AR353" i="1"/>
  <c r="AN349" i="1"/>
  <c r="AO349" i="1" s="1"/>
  <c r="AP351" i="1"/>
  <c r="E374" i="1"/>
  <c r="A374" i="1"/>
  <c r="A373" i="1"/>
  <c r="A370" i="1"/>
  <c r="A369" i="1"/>
  <c r="Q372" i="1"/>
  <c r="BA378" i="1"/>
  <c r="AR378" i="1" s="1"/>
  <c r="E171" i="1"/>
  <c r="P175" i="1"/>
  <c r="B177" i="1"/>
  <c r="B167" i="1"/>
  <c r="B171" i="1" s="1"/>
  <c r="B170" i="1"/>
  <c r="D440" i="1"/>
  <c r="B441" i="1"/>
  <c r="Y421" i="1"/>
  <c r="U417" i="1"/>
  <c r="V417" i="1" s="1"/>
  <c r="BG193" i="1"/>
  <c r="BH193" i="1" s="1"/>
  <c r="BF195" i="1"/>
  <c r="BI197" i="1" s="1"/>
  <c r="BJ196" i="1" s="1"/>
  <c r="BG192" i="1"/>
  <c r="BH192" i="1" s="1"/>
  <c r="R349" i="1"/>
  <c r="R351" i="1" s="1"/>
  <c r="R346" i="1"/>
  <c r="S351" i="1" s="1"/>
  <c r="S349" i="1" s="1"/>
  <c r="P373" i="1"/>
  <c r="P377" i="1"/>
  <c r="C368" i="1"/>
  <c r="O372" i="1" s="1"/>
  <c r="AG417" i="1"/>
  <c r="AA418" i="1" s="1"/>
  <c r="AM238" i="1"/>
  <c r="AM235" i="1"/>
  <c r="AM239" i="1"/>
  <c r="BH441" i="1"/>
  <c r="BU439" i="1"/>
  <c r="AM436" i="1"/>
  <c r="AM435" i="1"/>
  <c r="AM432" i="1"/>
  <c r="U193" i="1"/>
  <c r="V193" i="1" s="1"/>
  <c r="T195" i="1"/>
  <c r="AH198" i="1" s="1"/>
  <c r="BG235" i="1"/>
  <c r="BG239" i="1" s="1"/>
  <c r="BJ239" i="1"/>
  <c r="BG245" i="1"/>
  <c r="BU243" i="1"/>
  <c r="BG238" i="1"/>
  <c r="BS194" i="1"/>
  <c r="P194" i="1"/>
  <c r="C196" i="1"/>
  <c r="Z346" i="1"/>
  <c r="BS418" i="1"/>
  <c r="AO151" i="1"/>
  <c r="BB149" i="1"/>
  <c r="AT418" i="1"/>
  <c r="AZ421" i="1" s="1"/>
  <c r="AR418" i="1"/>
  <c r="BU130" i="1"/>
  <c r="BU129" i="1"/>
  <c r="N128" i="1"/>
  <c r="BD124" i="1"/>
  <c r="U152" i="1"/>
  <c r="AI150" i="1"/>
  <c r="X146" i="1"/>
  <c r="U142" i="1"/>
  <c r="U146" i="1" s="1"/>
  <c r="U145" i="1"/>
  <c r="BH196" i="1"/>
  <c r="BU194" i="1"/>
  <c r="E434" i="1"/>
  <c r="E432" i="1"/>
  <c r="T459" i="1"/>
  <c r="AH458" i="1"/>
  <c r="U458" i="1"/>
  <c r="AF458" i="1"/>
  <c r="T133" i="1"/>
  <c r="U132" i="1" s="1"/>
  <c r="V132" i="1" s="1"/>
  <c r="W124" i="1" s="1"/>
  <c r="X124" i="1" s="1"/>
  <c r="Y124" i="1" s="1"/>
  <c r="BG220" i="1"/>
  <c r="BJ214" i="1"/>
  <c r="BU218" i="1"/>
  <c r="BG210" i="1"/>
  <c r="BG214" i="1" s="1"/>
  <c r="BG213" i="1"/>
  <c r="AM133" i="1"/>
  <c r="AN132" i="1" s="1"/>
  <c r="AO132" i="1" s="1"/>
  <c r="AP124" i="1" s="1"/>
  <c r="AQ124" i="1" s="1"/>
  <c r="AR124" i="1" s="1"/>
  <c r="AK124" i="1"/>
  <c r="AK129" i="1"/>
  <c r="BS416" i="1"/>
  <c r="BJ368" i="1"/>
  <c r="BG374" i="1"/>
  <c r="BU372" i="1"/>
  <c r="BG364" i="1"/>
  <c r="BG367" i="1"/>
  <c r="BC175" i="1"/>
  <c r="AQ177" i="1"/>
  <c r="AM177" i="1"/>
  <c r="AM176" i="1"/>
  <c r="AM173" i="1"/>
  <c r="AM172" i="1"/>
  <c r="AO196" i="1"/>
  <c r="BB194" i="1"/>
  <c r="BK131" i="1"/>
  <c r="BG127" i="1"/>
  <c r="BH127" i="1" s="1"/>
  <c r="BI440" i="1"/>
  <c r="BT130" i="1"/>
  <c r="AN220" i="1"/>
  <c r="BB218" i="1"/>
  <c r="AQ214" i="1"/>
  <c r="AN210" i="1"/>
  <c r="AN214" i="1" s="1"/>
  <c r="AN213" i="1"/>
  <c r="BA422" i="1"/>
  <c r="AR422" i="1"/>
  <c r="BA420" i="1"/>
  <c r="BA423" i="1"/>
  <c r="AR423" i="1" s="1"/>
  <c r="T368" i="1"/>
  <c r="T367" i="1"/>
  <c r="T364" i="1"/>
  <c r="BF169" i="1"/>
  <c r="BT168" i="1"/>
  <c r="BR168" i="1"/>
  <c r="BG168" i="1"/>
  <c r="AN178" i="1"/>
  <c r="AP178" i="1" s="1"/>
  <c r="AQ178" i="1" s="1"/>
  <c r="BA179" i="1" s="1"/>
  <c r="AT153" i="1"/>
  <c r="BA151" i="1"/>
  <c r="U442" i="1"/>
  <c r="AI440" i="1"/>
  <c r="X436" i="1"/>
  <c r="U432" i="1"/>
  <c r="U436" i="1" s="1"/>
  <c r="U435" i="1"/>
  <c r="AT375" i="1"/>
  <c r="BA373" i="1"/>
  <c r="AZ372" i="1" s="1"/>
  <c r="AN193" i="1"/>
  <c r="AO193" i="1" s="1"/>
  <c r="AM195" i="1"/>
  <c r="B443" i="1"/>
  <c r="D443" i="1" s="1"/>
  <c r="E443" i="1" s="1"/>
  <c r="Q441" i="1" s="1"/>
  <c r="A237" i="1"/>
  <c r="O236" i="1"/>
  <c r="M236" i="1"/>
  <c r="B236" i="1"/>
  <c r="A214" i="1"/>
  <c r="A213" i="1"/>
  <c r="A210" i="1"/>
  <c r="BS196" i="1"/>
  <c r="AM460" i="1"/>
  <c r="AM457" i="1"/>
  <c r="AM461" i="1"/>
  <c r="AZ150" i="1"/>
  <c r="BS153" i="1"/>
  <c r="BK153" i="1" s="1"/>
  <c r="BS152" i="1"/>
  <c r="BM150" i="1" s="1"/>
  <c r="BM149" i="1" s="1"/>
  <c r="BD349" i="1"/>
  <c r="BD351" i="1" s="1"/>
  <c r="BD346" i="1"/>
  <c r="AP372" i="1"/>
  <c r="O196" i="1"/>
  <c r="N195" i="1" s="1"/>
  <c r="H198" i="1"/>
  <c r="BW351" i="1"/>
  <c r="BW346" i="1"/>
  <c r="BT444" i="1"/>
  <c r="AH196" i="1"/>
  <c r="AA198" i="1"/>
  <c r="T169" i="1"/>
  <c r="AH168" i="1"/>
  <c r="AF168" i="1"/>
  <c r="U168" i="1"/>
  <c r="BJ195" i="1"/>
  <c r="O199" i="1"/>
  <c r="BV441" i="1"/>
  <c r="BT418" i="1"/>
  <c r="BS417" i="1" s="1"/>
  <c r="BM420" i="1"/>
  <c r="B399" i="1"/>
  <c r="E393" i="1"/>
  <c r="P397" i="1"/>
  <c r="B389" i="1"/>
  <c r="B393" i="1" s="1"/>
  <c r="B392" i="1"/>
  <c r="V196" i="1"/>
  <c r="AI194" i="1"/>
  <c r="BA154" i="1"/>
  <c r="R423" i="1"/>
  <c r="AN196" i="1"/>
  <c r="AP195" i="1"/>
  <c r="E195" i="1"/>
  <c r="Q128" i="1"/>
  <c r="X353" i="1"/>
  <c r="Z353" i="1" s="1"/>
  <c r="A130" i="1"/>
  <c r="T210" i="1"/>
  <c r="T213" i="1"/>
  <c r="T214" i="1"/>
  <c r="N439" i="1"/>
  <c r="AG419" i="1"/>
  <c r="AA417" i="1" s="1"/>
  <c r="AA416" i="1" s="1"/>
  <c r="AG420" i="1"/>
  <c r="Y420" i="1" s="1"/>
  <c r="AQ131" i="1"/>
  <c r="BJ417" i="1"/>
  <c r="BF368" i="1"/>
  <c r="BF367" i="1"/>
  <c r="BF364" i="1"/>
  <c r="AQ167" i="1"/>
  <c r="AQ169" i="1"/>
  <c r="BK128" i="1"/>
  <c r="BW133" i="1" s="1"/>
  <c r="BM128" i="1"/>
  <c r="BS131" i="1" s="1"/>
  <c r="AH420" i="1"/>
  <c r="Q196" i="1"/>
  <c r="AP150" i="1"/>
  <c r="W195" i="1"/>
  <c r="BF391" i="1"/>
  <c r="BT390" i="1"/>
  <c r="BG390" i="1"/>
  <c r="BR390" i="1"/>
  <c r="AZ400" i="1"/>
  <c r="AR400" i="1" s="1"/>
  <c r="D195" i="1"/>
  <c r="B196" i="1"/>
  <c r="F353" i="1"/>
  <c r="B349" i="1"/>
  <c r="C349" i="1" s="1"/>
  <c r="D351" i="1"/>
  <c r="AM201" i="1"/>
  <c r="AN200" i="1" s="1"/>
  <c r="AO200" i="1" s="1"/>
  <c r="BB400" i="1"/>
  <c r="BB399" i="1"/>
  <c r="BG437" i="1"/>
  <c r="BH437" i="1" s="1"/>
  <c r="BM443" i="1"/>
  <c r="BT441" i="1"/>
  <c r="AM355" i="1"/>
  <c r="AN354" i="1" s="1"/>
  <c r="AO354" i="1" s="1"/>
  <c r="AP346" i="1" s="1"/>
  <c r="AQ346" i="1" s="1"/>
  <c r="AR346" i="1" s="1"/>
  <c r="R414" i="1"/>
  <c r="R419" i="1"/>
  <c r="E366" i="1"/>
  <c r="E364" i="1"/>
  <c r="E146" i="1"/>
  <c r="P150" i="1"/>
  <c r="B152" i="1"/>
  <c r="B142" i="1"/>
  <c r="B145" i="1"/>
  <c r="AO171" i="1"/>
  <c r="BA175" i="1" s="1"/>
  <c r="BB176" i="1"/>
  <c r="BB180" i="1"/>
  <c r="AM149" i="1"/>
  <c r="AN401" i="1"/>
  <c r="AO401" i="1" s="1"/>
  <c r="A171" i="1"/>
  <c r="A170" i="1"/>
  <c r="A167" i="1"/>
  <c r="T435" i="1"/>
  <c r="T436" i="1"/>
  <c r="T432" i="1"/>
  <c r="AM371" i="1"/>
  <c r="AP197" i="1"/>
  <c r="AQ196" i="1" s="1"/>
  <c r="AZ196" i="1"/>
  <c r="AN192" i="1"/>
  <c r="AO192" i="1" s="1"/>
  <c r="BF133" i="1"/>
  <c r="BG132" i="1" s="1"/>
  <c r="BH132" i="1" s="1"/>
  <c r="BI124" i="1" s="1"/>
  <c r="BJ131" i="1" s="1"/>
  <c r="Y200" i="1"/>
  <c r="AH200" i="1"/>
  <c r="AR401" i="1"/>
  <c r="AN397" i="1"/>
  <c r="AO397" i="1" s="1"/>
  <c r="BM198" i="1"/>
  <c r="BT196" i="1"/>
  <c r="C197" i="1"/>
  <c r="BK155" i="1"/>
  <c r="BT155" i="1"/>
  <c r="BT156" i="1"/>
  <c r="BK156" i="1" s="1"/>
  <c r="T391" i="1"/>
  <c r="AH390" i="1"/>
  <c r="AF390" i="1"/>
  <c r="U390" i="1"/>
  <c r="BJ440" i="1"/>
  <c r="AO152" i="1"/>
  <c r="BG467" i="1"/>
  <c r="BU465" i="1"/>
  <c r="BG457" i="1"/>
  <c r="BG461" i="1" s="1"/>
  <c r="BJ461" i="1"/>
  <c r="BG460" i="1"/>
  <c r="AN373" i="1"/>
  <c r="A459" i="1"/>
  <c r="O458" i="1"/>
  <c r="M458" i="1"/>
  <c r="B458" i="1"/>
  <c r="A194" i="1"/>
  <c r="AG196" i="1"/>
  <c r="BF235" i="1"/>
  <c r="BF239" i="1"/>
  <c r="BF238" i="1"/>
  <c r="H419" i="1"/>
  <c r="H421" i="1" s="1"/>
  <c r="R422" i="1"/>
  <c r="BB421" i="1"/>
  <c r="BA419" i="1"/>
  <c r="BB415" i="1" s="1"/>
  <c r="P131" i="1"/>
  <c r="O129" i="1"/>
  <c r="P125" i="1" s="1"/>
  <c r="BF444" i="1"/>
  <c r="BF420" i="1"/>
  <c r="AH199" i="1"/>
  <c r="BG148" i="1"/>
  <c r="BH148" i="1" s="1"/>
  <c r="BF150" i="1"/>
  <c r="BF155" i="1"/>
  <c r="BF154" i="1"/>
  <c r="BU154" i="1"/>
  <c r="BT152" i="1"/>
  <c r="BU148" i="1" s="1"/>
  <c r="AO197" i="1"/>
  <c r="H130" i="1"/>
  <c r="O128" i="1"/>
  <c r="N127" i="1" s="1"/>
  <c r="AI421" i="1"/>
  <c r="AH419" i="1"/>
  <c r="AI415" i="1" s="1"/>
  <c r="T142" i="1"/>
  <c r="T145" i="1"/>
  <c r="T146" i="1"/>
  <c r="AZ194" i="1"/>
  <c r="E442" i="1"/>
  <c r="A442" i="1"/>
  <c r="A441" i="1"/>
  <c r="Q440" i="1"/>
  <c r="A438" i="1"/>
  <c r="A437" i="1"/>
  <c r="W419" i="1"/>
  <c r="X418" i="1" s="1"/>
  <c r="Y131" i="1"/>
  <c r="U127" i="1"/>
  <c r="V127" i="1" s="1"/>
  <c r="W129" i="1"/>
  <c r="BF210" i="1"/>
  <c r="BF214" i="1"/>
  <c r="BF213" i="1"/>
  <c r="AR131" i="1"/>
  <c r="AN127" i="1"/>
  <c r="AO127" i="1" s="1"/>
  <c r="BA130" i="1"/>
  <c r="BD123" i="1" s="1"/>
  <c r="AP129" i="1"/>
  <c r="AH130" i="1"/>
  <c r="BM151" i="1"/>
  <c r="BS154" i="1" s="1"/>
  <c r="BK151" i="1"/>
  <c r="AP419" i="1"/>
  <c r="AQ175" i="1"/>
  <c r="BA181" i="1" s="1"/>
  <c r="AR181" i="1" s="1"/>
  <c r="AZ174" i="1"/>
  <c r="AQ150" i="1"/>
  <c r="AM423" i="1"/>
  <c r="AN422" i="1" s="1"/>
  <c r="AO422" i="1" s="1"/>
  <c r="AP414" i="1" s="1"/>
  <c r="AQ421" i="1" s="1"/>
  <c r="AN151" i="1"/>
  <c r="U196" i="1"/>
  <c r="X131" i="1" l="1"/>
  <c r="BC176" i="1"/>
  <c r="BL131" i="1"/>
  <c r="Q373" i="1"/>
  <c r="AZ399" i="1"/>
  <c r="AT397" i="1" s="1"/>
  <c r="AT396" i="1" s="1"/>
  <c r="AS421" i="1"/>
  <c r="BF355" i="1"/>
  <c r="BG354" i="1" s="1"/>
  <c r="BH354" i="1" s="1"/>
  <c r="BG353" i="1"/>
  <c r="BE351" i="1"/>
  <c r="BE349" i="1" s="1"/>
  <c r="BF445" i="1"/>
  <c r="BF446" i="1" s="1"/>
  <c r="BG445" i="1" s="1"/>
  <c r="BH445" i="1" s="1"/>
  <c r="BF440" i="1"/>
  <c r="BI442" i="1" s="1"/>
  <c r="BJ441" i="1" s="1"/>
  <c r="BU443" i="1" s="1"/>
  <c r="BF156" i="1"/>
  <c r="BG155" i="1" s="1"/>
  <c r="BH155" i="1" s="1"/>
  <c r="W197" i="1"/>
  <c r="X196" i="1" s="1"/>
  <c r="AI198" i="1" s="1"/>
  <c r="T423" i="1"/>
  <c r="U422" i="1" s="1"/>
  <c r="V422" i="1" s="1"/>
  <c r="U421" i="1"/>
  <c r="O444" i="1"/>
  <c r="B369" i="1"/>
  <c r="C369" i="1" s="1"/>
  <c r="E421" i="1"/>
  <c r="G421" i="1" s="1"/>
  <c r="F417" i="1" s="1"/>
  <c r="G417" i="1" s="1"/>
  <c r="B411" i="1" s="1"/>
  <c r="A439" i="1"/>
  <c r="A445" i="1" s="1"/>
  <c r="C442" i="1"/>
  <c r="T200" i="1"/>
  <c r="T199" i="1"/>
  <c r="AO177" i="1"/>
  <c r="AM174" i="1"/>
  <c r="BJ124" i="1"/>
  <c r="BK124" i="1" s="1"/>
  <c r="BL124" i="1" s="1"/>
  <c r="BK127" i="1" s="1"/>
  <c r="BL127" i="1" s="1"/>
  <c r="BG121" i="1" s="1"/>
  <c r="AK414" i="1"/>
  <c r="AG421" i="1"/>
  <c r="BJ210" i="1"/>
  <c r="BJ212" i="1"/>
  <c r="N441" i="1"/>
  <c r="A443" i="1"/>
  <c r="X152" i="1"/>
  <c r="T152" i="1"/>
  <c r="T151" i="1"/>
  <c r="AJ150" i="1"/>
  <c r="T148" i="1"/>
  <c r="T147" i="1"/>
  <c r="BG154" i="1"/>
  <c r="BH154" i="1" s="1"/>
  <c r="BS242" i="1"/>
  <c r="BG468" i="1"/>
  <c r="BI468" i="1" s="1"/>
  <c r="BJ468" i="1" s="1"/>
  <c r="BT469" i="1" s="1"/>
  <c r="X393" i="1"/>
  <c r="U399" i="1"/>
  <c r="AI397" i="1"/>
  <c r="U389" i="1"/>
  <c r="U392" i="1"/>
  <c r="BB198" i="1"/>
  <c r="BB197" i="1"/>
  <c r="AG439" i="1"/>
  <c r="P155" i="1"/>
  <c r="C146" i="1"/>
  <c r="O150" i="1" s="1"/>
  <c r="P151" i="1"/>
  <c r="BK441" i="1"/>
  <c r="BJ374" i="1"/>
  <c r="BF374" i="1"/>
  <c r="BF373" i="1"/>
  <c r="BF370" i="1"/>
  <c r="BV372" i="1"/>
  <c r="BF369" i="1"/>
  <c r="Z131" i="1"/>
  <c r="E440" i="1"/>
  <c r="F200" i="1"/>
  <c r="O200" i="1"/>
  <c r="O201" i="1"/>
  <c r="F201" i="1" s="1"/>
  <c r="Y196" i="1"/>
  <c r="AZ464" i="1"/>
  <c r="BU198" i="1"/>
  <c r="BU197" i="1"/>
  <c r="E220" i="1"/>
  <c r="A220" i="1"/>
  <c r="A219" i="1"/>
  <c r="E218" i="1" s="1"/>
  <c r="O224" i="1" s="1"/>
  <c r="F224" i="1" s="1"/>
  <c r="A216" i="1"/>
  <c r="A215" i="1"/>
  <c r="Q218" i="1"/>
  <c r="AR199" i="1"/>
  <c r="AN195" i="1"/>
  <c r="AO195" i="1" s="1"/>
  <c r="AN176" i="1"/>
  <c r="AN221" i="1"/>
  <c r="AP221" i="1" s="1"/>
  <c r="AQ221" i="1" s="1"/>
  <c r="BA222" i="1" s="1"/>
  <c r="AZ176" i="1"/>
  <c r="AM178" i="1"/>
  <c r="BG221" i="1"/>
  <c r="BI221" i="1" s="1"/>
  <c r="BJ221" i="1" s="1"/>
  <c r="BT222" i="1" s="1"/>
  <c r="AI465" i="1"/>
  <c r="U467" i="1"/>
  <c r="X461" i="1"/>
  <c r="U457" i="1"/>
  <c r="U461" i="1" s="1"/>
  <c r="U460" i="1"/>
  <c r="U153" i="1"/>
  <c r="W153" i="1" s="1"/>
  <c r="X153" i="1" s="1"/>
  <c r="AH154" i="1" s="1"/>
  <c r="N130" i="1"/>
  <c r="F130" i="1" s="1"/>
  <c r="N129" i="1"/>
  <c r="H127" i="1" s="1"/>
  <c r="H126" i="1" s="1"/>
  <c r="Y349" i="1"/>
  <c r="Z349" i="1" s="1"/>
  <c r="U343" i="1" s="1"/>
  <c r="Y199" i="1"/>
  <c r="U195" i="1"/>
  <c r="V195" i="1" s="1"/>
  <c r="AZ439" i="1"/>
  <c r="AP196" i="1"/>
  <c r="AQ200" i="1" s="1"/>
  <c r="AQ350" i="1"/>
  <c r="AP350" i="1"/>
  <c r="AQ354" i="1" s="1"/>
  <c r="AI373" i="1"/>
  <c r="V368" i="1"/>
  <c r="AH372" i="1" s="1"/>
  <c r="AI377" i="1"/>
  <c r="BM351" i="1"/>
  <c r="BM353" i="1" s="1"/>
  <c r="BW354" i="1"/>
  <c r="BW124" i="1"/>
  <c r="AI223" i="1"/>
  <c r="AI219" i="1"/>
  <c r="V214" i="1"/>
  <c r="AH218" i="1" s="1"/>
  <c r="B125" i="1"/>
  <c r="C125" i="1" s="1"/>
  <c r="A127" i="1"/>
  <c r="A131" i="1"/>
  <c r="A132" i="1"/>
  <c r="E399" i="1"/>
  <c r="A399" i="1"/>
  <c r="A398" i="1"/>
  <c r="A395" i="1"/>
  <c r="A394" i="1"/>
  <c r="Q397" i="1"/>
  <c r="AN443" i="1"/>
  <c r="AP443" i="1" s="1"/>
  <c r="AQ443" i="1" s="1"/>
  <c r="BA444" i="1" s="1"/>
  <c r="N198" i="1"/>
  <c r="F198" i="1" s="1"/>
  <c r="N197" i="1"/>
  <c r="H195" i="1" s="1"/>
  <c r="H194" i="1" s="1"/>
  <c r="BS464" i="1"/>
  <c r="W418" i="1"/>
  <c r="X422" i="1" s="1"/>
  <c r="AZ375" i="1"/>
  <c r="AR375" i="1" s="1"/>
  <c r="AZ374" i="1"/>
  <c r="AT372" i="1" s="1"/>
  <c r="AT371" i="1" s="1"/>
  <c r="E144" i="1"/>
  <c r="E142" i="1"/>
  <c r="AZ217" i="1"/>
  <c r="AR155" i="1"/>
  <c r="BA155" i="1"/>
  <c r="BA156" i="1"/>
  <c r="AR156" i="1" s="1"/>
  <c r="AI420" i="1"/>
  <c r="AI419" i="1"/>
  <c r="BA180" i="1"/>
  <c r="AR180" i="1"/>
  <c r="AQ128" i="1"/>
  <c r="AP128" i="1"/>
  <c r="AQ132" i="1" s="1"/>
  <c r="BS217" i="1"/>
  <c r="X128" i="1"/>
  <c r="W128" i="1"/>
  <c r="X132" i="1" s="1"/>
  <c r="B437" i="1"/>
  <c r="C437" i="1" s="1"/>
  <c r="X150" i="1"/>
  <c r="AG149" i="1"/>
  <c r="H128" i="1"/>
  <c r="N131" i="1" s="1"/>
  <c r="F128" i="1"/>
  <c r="R127" i="1" s="1"/>
  <c r="R129" i="1" s="1"/>
  <c r="BK154" i="1"/>
  <c r="BG150" i="1"/>
  <c r="BH150" i="1" s="1"/>
  <c r="BI152" i="1"/>
  <c r="BJ245" i="1"/>
  <c r="BF245" i="1"/>
  <c r="BF244" i="1"/>
  <c r="BF241" i="1"/>
  <c r="BV243" i="1"/>
  <c r="BF240" i="1"/>
  <c r="A461" i="1"/>
  <c r="A460" i="1"/>
  <c r="A457" i="1"/>
  <c r="BT153" i="1"/>
  <c r="BK196" i="1"/>
  <c r="BW201" i="1" s="1"/>
  <c r="AN370" i="1"/>
  <c r="AO370" i="1" s="1"/>
  <c r="AM372" i="1"/>
  <c r="AM376" i="1"/>
  <c r="AM377" i="1"/>
  <c r="E169" i="1"/>
  <c r="E167" i="1"/>
  <c r="AN148" i="1"/>
  <c r="AO148" i="1" s="1"/>
  <c r="AM150" i="1"/>
  <c r="AM155" i="1"/>
  <c r="AM154" i="1"/>
  <c r="B146" i="1"/>
  <c r="AS346" i="1"/>
  <c r="AT399" i="1"/>
  <c r="AT401" i="1" s="1"/>
  <c r="AP192" i="1"/>
  <c r="AQ199" i="1" s="1"/>
  <c r="AS199" i="1" s="1"/>
  <c r="AP394" i="1"/>
  <c r="AQ394" i="1" s="1"/>
  <c r="AR394" i="1" s="1"/>
  <c r="AQ414" i="1"/>
  <c r="AR414" i="1" s="1"/>
  <c r="BK422" i="1"/>
  <c r="BT422" i="1"/>
  <c r="BT423" i="1"/>
  <c r="BK423" i="1" s="1"/>
  <c r="X220" i="1"/>
  <c r="T220" i="1"/>
  <c r="T219" i="1"/>
  <c r="X218" i="1" s="1"/>
  <c r="AH224" i="1" s="1"/>
  <c r="Y224" i="1" s="1"/>
  <c r="AJ218" i="1"/>
  <c r="T216" i="1"/>
  <c r="T215" i="1"/>
  <c r="BM418" i="1"/>
  <c r="BS421" i="1" s="1"/>
  <c r="BK418" i="1"/>
  <c r="BT200" i="1"/>
  <c r="BK200" i="1"/>
  <c r="BT198" i="1"/>
  <c r="BT201" i="1"/>
  <c r="BK201" i="1" s="1"/>
  <c r="T167" i="1"/>
  <c r="T170" i="1"/>
  <c r="T171" i="1"/>
  <c r="H196" i="1"/>
  <c r="N199" i="1" s="1"/>
  <c r="F196" i="1"/>
  <c r="BB376" i="1"/>
  <c r="BA374" i="1"/>
  <c r="BB370" i="1" s="1"/>
  <c r="BS198" i="1"/>
  <c r="BK198" i="1" s="1"/>
  <c r="B245" i="1"/>
  <c r="B235" i="1"/>
  <c r="B239" i="1" s="1"/>
  <c r="E239" i="1"/>
  <c r="P243" i="1"/>
  <c r="B238" i="1"/>
  <c r="U443" i="1"/>
  <c r="W443" i="1" s="1"/>
  <c r="X443" i="1" s="1"/>
  <c r="AO176" i="1"/>
  <c r="BB174" i="1"/>
  <c r="BF167" i="1"/>
  <c r="BF171" i="1"/>
  <c r="BF170" i="1"/>
  <c r="T369" i="1"/>
  <c r="X374" i="1"/>
  <c r="T374" i="1"/>
  <c r="T373" i="1"/>
  <c r="AJ372" i="1"/>
  <c r="T370" i="1"/>
  <c r="BB223" i="1"/>
  <c r="AO214" i="1"/>
  <c r="BA218" i="1" s="1"/>
  <c r="BB219" i="1"/>
  <c r="BU223" i="1"/>
  <c r="BU219" i="1"/>
  <c r="BH214" i="1"/>
  <c r="BT218" i="1" s="1"/>
  <c r="T461" i="1"/>
  <c r="T457" i="1"/>
  <c r="T460" i="1"/>
  <c r="AI151" i="1"/>
  <c r="AH156" i="1"/>
  <c r="Y156" i="1" s="1"/>
  <c r="V146" i="1"/>
  <c r="AH150" i="1" s="1"/>
  <c r="AI155" i="1"/>
  <c r="BS420" i="1"/>
  <c r="BK420" i="1" s="1"/>
  <c r="BS419" i="1"/>
  <c r="BM417" i="1" s="1"/>
  <c r="BM416" i="1" s="1"/>
  <c r="BG246" i="1"/>
  <c r="BI246" i="1" s="1"/>
  <c r="BJ246" i="1" s="1"/>
  <c r="BC440" i="1"/>
  <c r="AQ442" i="1"/>
  <c r="AM442" i="1"/>
  <c r="AM441" i="1"/>
  <c r="AM437" i="1"/>
  <c r="AM438" i="1"/>
  <c r="BC243" i="1"/>
  <c r="AQ245" i="1"/>
  <c r="AM245" i="1"/>
  <c r="AM244" i="1"/>
  <c r="AQ243" i="1" s="1"/>
  <c r="BA249" i="1" s="1"/>
  <c r="AR249" i="1" s="1"/>
  <c r="AM241" i="1"/>
  <c r="AM240" i="1"/>
  <c r="C374" i="1"/>
  <c r="B178" i="1"/>
  <c r="D178" i="1" s="1"/>
  <c r="E178" i="1" s="1"/>
  <c r="O179" i="1" s="1"/>
  <c r="O373" i="1"/>
  <c r="H375" i="1"/>
  <c r="U368" i="1"/>
  <c r="G353" i="1"/>
  <c r="BG415" i="1"/>
  <c r="BH415" i="1" s="1"/>
  <c r="BF417" i="1"/>
  <c r="BF422" i="1"/>
  <c r="BF421" i="1"/>
  <c r="BB445" i="1"/>
  <c r="BB441" i="1"/>
  <c r="AO436" i="1"/>
  <c r="BA440" i="1" s="1"/>
  <c r="BV465" i="1"/>
  <c r="BJ467" i="1"/>
  <c r="BF467" i="1"/>
  <c r="BF466" i="1"/>
  <c r="BF463" i="1"/>
  <c r="BF462" i="1"/>
  <c r="BW355" i="1"/>
  <c r="AT196" i="1"/>
  <c r="AZ199" i="1" s="1"/>
  <c r="AR196" i="1"/>
  <c r="BD201" i="1" s="1"/>
  <c r="N149" i="1"/>
  <c r="AK423" i="1"/>
  <c r="BU421" i="1"/>
  <c r="BT419" i="1"/>
  <c r="BU415" i="1" s="1"/>
  <c r="BA198" i="1"/>
  <c r="AQ418" i="1"/>
  <c r="AP418" i="1"/>
  <c r="AQ422" i="1" s="1"/>
  <c r="BF220" i="1"/>
  <c r="BV218" i="1"/>
  <c r="BF215" i="1"/>
  <c r="BJ220" i="1"/>
  <c r="BF219" i="1"/>
  <c r="BF216" i="1"/>
  <c r="BF217" i="1" s="1"/>
  <c r="O441" i="1"/>
  <c r="H443" i="1"/>
  <c r="X142" i="1"/>
  <c r="X144" i="1"/>
  <c r="BJ235" i="1"/>
  <c r="BV244" i="1"/>
  <c r="BJ237" i="1"/>
  <c r="B193" i="1"/>
  <c r="C193" i="1" s="1"/>
  <c r="A195" i="1"/>
  <c r="A200" i="1"/>
  <c r="A199" i="1"/>
  <c r="T393" i="1"/>
  <c r="T392" i="1"/>
  <c r="T389" i="1"/>
  <c r="AQ192" i="1"/>
  <c r="AR192" i="1" s="1"/>
  <c r="AJ441" i="1"/>
  <c r="X434" i="1"/>
  <c r="X432" i="1"/>
  <c r="N174" i="1"/>
  <c r="E350" i="1"/>
  <c r="D350" i="1"/>
  <c r="E354" i="1" s="1"/>
  <c r="P199" i="1"/>
  <c r="O197" i="1"/>
  <c r="P193" i="1" s="1"/>
  <c r="BJ393" i="1"/>
  <c r="BG399" i="1"/>
  <c r="BU397" i="1"/>
  <c r="BG389" i="1"/>
  <c r="BG392" i="1"/>
  <c r="AI199" i="1"/>
  <c r="AH197" i="1"/>
  <c r="AI193" i="1" s="1"/>
  <c r="BJ366" i="1"/>
  <c r="BJ364" i="1"/>
  <c r="B400" i="1"/>
  <c r="D400" i="1" s="1"/>
  <c r="E400" i="1" s="1"/>
  <c r="O401" i="1" s="1"/>
  <c r="BC465" i="1"/>
  <c r="AQ467" i="1"/>
  <c r="AM467" i="1"/>
  <c r="AM466" i="1"/>
  <c r="AQ465" i="1" s="1"/>
  <c r="AM463" i="1"/>
  <c r="AM462" i="1"/>
  <c r="E212" i="1"/>
  <c r="E210" i="1"/>
  <c r="P439" i="1"/>
  <c r="C441" i="1"/>
  <c r="AT373" i="1"/>
  <c r="AZ376" i="1" s="1"/>
  <c r="AR373" i="1"/>
  <c r="AI441" i="1"/>
  <c r="AI445" i="1"/>
  <c r="V436" i="1"/>
  <c r="AH440" i="1" s="1"/>
  <c r="BD414" i="1"/>
  <c r="BD419" i="1"/>
  <c r="AN172" i="1"/>
  <c r="AO172" i="1" s="1"/>
  <c r="AT178" i="1"/>
  <c r="BA176" i="1"/>
  <c r="BG375" i="1"/>
  <c r="BI375" i="1" s="1"/>
  <c r="BJ375" i="1" s="1"/>
  <c r="Z124" i="1"/>
  <c r="Y127" i="1" s="1"/>
  <c r="Z127" i="1" s="1"/>
  <c r="U121" i="1" s="1"/>
  <c r="BE129" i="1"/>
  <c r="BE127" i="1" s="1"/>
  <c r="BM129" i="1"/>
  <c r="BM131" i="1" s="1"/>
  <c r="BW132" i="1"/>
  <c r="BH239" i="1"/>
  <c r="BT243" i="1" s="1"/>
  <c r="BU248" i="1"/>
  <c r="BU244" i="1"/>
  <c r="BS195" i="1"/>
  <c r="BM196" i="1" s="1"/>
  <c r="BS199" i="1" s="1"/>
  <c r="AQ235" i="1"/>
  <c r="AQ237" i="1"/>
  <c r="AG195" i="1"/>
  <c r="AG197" i="1" s="1"/>
  <c r="AA195" i="1" s="1"/>
  <c r="AA194" i="1" s="1"/>
  <c r="BK199" i="1"/>
  <c r="BG195" i="1"/>
  <c r="BH195" i="1" s="1"/>
  <c r="P180" i="1"/>
  <c r="C171" i="1"/>
  <c r="O175" i="1" s="1"/>
  <c r="P176" i="1"/>
  <c r="A371" i="1"/>
  <c r="BI441" i="1"/>
  <c r="BJ445" i="1" s="1"/>
  <c r="BS440" i="1"/>
  <c r="BM441" i="1" s="1"/>
  <c r="BS444" i="1" s="1"/>
  <c r="U214" i="1"/>
  <c r="AG217" i="1" s="1"/>
  <c r="E391" i="1"/>
  <c r="E389" i="1"/>
  <c r="AN246" i="1"/>
  <c r="AP246" i="1" s="1"/>
  <c r="AQ246" i="1" s="1"/>
  <c r="BV466" i="1"/>
  <c r="BJ457" i="1"/>
  <c r="BJ459" i="1"/>
  <c r="BB466" i="1"/>
  <c r="BB470" i="1"/>
  <c r="AO461" i="1"/>
  <c r="BA465" i="1" s="1"/>
  <c r="B221" i="1"/>
  <c r="D221" i="1" s="1"/>
  <c r="E221" i="1" s="1"/>
  <c r="Q219" i="1" s="1"/>
  <c r="E152" i="1"/>
  <c r="A152" i="1"/>
  <c r="A151" i="1"/>
  <c r="E150" i="1" s="1"/>
  <c r="A148" i="1"/>
  <c r="A147" i="1"/>
  <c r="Q150" i="1"/>
  <c r="AQ353" i="1"/>
  <c r="AS353" i="1" s="1"/>
  <c r="BK444" i="1"/>
  <c r="BG440" i="1"/>
  <c r="BH440" i="1" s="1"/>
  <c r="AQ220" i="1"/>
  <c r="BC218" i="1"/>
  <c r="AM220" i="1"/>
  <c r="AM219" i="1"/>
  <c r="AQ218" i="1" s="1"/>
  <c r="AM216" i="1"/>
  <c r="AM215" i="1"/>
  <c r="D372" i="1"/>
  <c r="BI147" i="1"/>
  <c r="BJ147" i="1" s="1"/>
  <c r="BK147" i="1" s="1"/>
  <c r="AG198" i="1"/>
  <c r="Y198" i="1" s="1"/>
  <c r="P465" i="1"/>
  <c r="B467" i="1"/>
  <c r="B457" i="1"/>
  <c r="E461" i="1"/>
  <c r="B460" i="1"/>
  <c r="BU470" i="1"/>
  <c r="BU466" i="1"/>
  <c r="BH461" i="1"/>
  <c r="BT465" i="1" s="1"/>
  <c r="BK445" i="1"/>
  <c r="BT445" i="1"/>
  <c r="BT446" i="1"/>
  <c r="BK446" i="1" s="1"/>
  <c r="AZ197" i="1"/>
  <c r="AT195" i="1" s="1"/>
  <c r="AT194" i="1" s="1"/>
  <c r="AZ198" i="1"/>
  <c r="AR198" i="1" s="1"/>
  <c r="X442" i="1"/>
  <c r="T442" i="1"/>
  <c r="T441" i="1"/>
  <c r="X440" i="1" s="1"/>
  <c r="AJ440" i="1"/>
  <c r="T437" i="1"/>
  <c r="T438" i="1"/>
  <c r="E177" i="1"/>
  <c r="A177" i="1"/>
  <c r="A176" i="1"/>
  <c r="A173" i="1"/>
  <c r="A172" i="1"/>
  <c r="Q175" i="1"/>
  <c r="B153" i="1"/>
  <c r="D153" i="1" s="1"/>
  <c r="E153" i="1" s="1"/>
  <c r="BF393" i="1"/>
  <c r="BF392" i="1"/>
  <c r="BF389" i="1"/>
  <c r="BB154" i="1"/>
  <c r="BA152" i="1"/>
  <c r="BB148" i="1" s="1"/>
  <c r="BJ372" i="1"/>
  <c r="AS131" i="1"/>
  <c r="X210" i="1"/>
  <c r="X212" i="1"/>
  <c r="BB199" i="1"/>
  <c r="BA197" i="1"/>
  <c r="BB193" i="1" s="1"/>
  <c r="P398" i="1"/>
  <c r="P402" i="1"/>
  <c r="C393" i="1"/>
  <c r="O397" i="1" s="1"/>
  <c r="U177" i="1"/>
  <c r="AI175" i="1"/>
  <c r="X171" i="1"/>
  <c r="U167" i="1"/>
  <c r="U171" i="1" s="1"/>
  <c r="U170" i="1"/>
  <c r="AQ457" i="1"/>
  <c r="AQ459" i="1"/>
  <c r="N217" i="1"/>
  <c r="A239" i="1"/>
  <c r="A238" i="1"/>
  <c r="A235" i="1"/>
  <c r="AT151" i="1"/>
  <c r="AZ154" i="1" s="1"/>
  <c r="AR151" i="1"/>
  <c r="AP175" i="1"/>
  <c r="BJ171" i="1"/>
  <c r="BG177" i="1"/>
  <c r="BU175" i="1"/>
  <c r="BG167" i="1"/>
  <c r="BG170" i="1"/>
  <c r="X366" i="1"/>
  <c r="X364" i="1"/>
  <c r="BU444" i="1"/>
  <c r="BT442" i="1"/>
  <c r="BU438" i="1" s="1"/>
  <c r="AN173" i="1"/>
  <c r="AO173" i="1" s="1"/>
  <c r="AM175" i="1"/>
  <c r="BT378" i="1"/>
  <c r="BK378" i="1" s="1"/>
  <c r="BH368" i="1"/>
  <c r="BT372" i="1" s="1"/>
  <c r="BU377" i="1"/>
  <c r="BU373" i="1"/>
  <c r="BG368" i="1"/>
  <c r="BS371" i="1" s="1"/>
  <c r="AS124" i="1"/>
  <c r="AR127" i="1" s="1"/>
  <c r="AS127" i="1" s="1"/>
  <c r="AN121" i="1" s="1"/>
  <c r="A444" i="1"/>
  <c r="A446" i="1" s="1"/>
  <c r="B445" i="1" s="1"/>
  <c r="C445" i="1" s="1"/>
  <c r="W150" i="1"/>
  <c r="AQ434" i="1"/>
  <c r="AQ432" i="1"/>
  <c r="AZ242" i="1"/>
  <c r="P444" i="1"/>
  <c r="O442" i="1"/>
  <c r="P438" i="1" s="1"/>
  <c r="D175" i="1"/>
  <c r="N373" i="1"/>
  <c r="A375" i="1"/>
  <c r="U375" i="1"/>
  <c r="W375" i="1" s="1"/>
  <c r="X375" i="1" s="1"/>
  <c r="BS443" i="1"/>
  <c r="BK443" i="1" s="1"/>
  <c r="T237" i="1"/>
  <c r="AH236" i="1"/>
  <c r="AF236" i="1"/>
  <c r="U236" i="1"/>
  <c r="U221" i="1"/>
  <c r="W221" i="1" s="1"/>
  <c r="X221" i="1" s="1"/>
  <c r="AJ219" i="1" s="1"/>
  <c r="N396" i="1"/>
  <c r="E397" i="1"/>
  <c r="BU199" i="1"/>
  <c r="BT197" i="1"/>
  <c r="BU193" i="1" s="1"/>
  <c r="AN441" i="1"/>
  <c r="AP440" i="1"/>
  <c r="BB248" i="1"/>
  <c r="AO239" i="1"/>
  <c r="BA243" i="1" s="1"/>
  <c r="BB244" i="1"/>
  <c r="C411" i="1"/>
  <c r="P371" i="1"/>
  <c r="C373" i="1"/>
  <c r="AN468" i="1"/>
  <c r="AP468" i="1" s="1"/>
  <c r="AQ468" i="1" s="1"/>
  <c r="BC466" i="1" s="1"/>
  <c r="P223" i="1"/>
  <c r="C214" i="1"/>
  <c r="O218" i="1" s="1"/>
  <c r="P219" i="1"/>
  <c r="AZ153" i="1"/>
  <c r="AR153" i="1" s="1"/>
  <c r="AZ152" i="1"/>
  <c r="AT150" i="1" s="1"/>
  <c r="AT149" i="1" s="1"/>
  <c r="E372" i="1"/>
  <c r="G346" i="1"/>
  <c r="F349" i="1" s="1"/>
  <c r="G349" i="1" s="1"/>
  <c r="B343" i="1" s="1"/>
  <c r="BI192" i="1"/>
  <c r="BJ199" i="1" s="1"/>
  <c r="AQ210" i="1"/>
  <c r="AQ212" i="1"/>
  <c r="B373" i="1"/>
  <c r="BD197" i="1"/>
  <c r="BD192" i="1"/>
  <c r="BI196" i="1"/>
  <c r="BJ200" i="1" s="1"/>
  <c r="W196" i="1" l="1"/>
  <c r="X200" i="1" s="1"/>
  <c r="BC219" i="1"/>
  <c r="BL199" i="1"/>
  <c r="AM217" i="1"/>
  <c r="AI197" i="1"/>
  <c r="AK201" i="1" s="1"/>
  <c r="A149" i="1"/>
  <c r="Q398" i="1"/>
  <c r="A440" i="1"/>
  <c r="D442" i="1" s="1"/>
  <c r="E441" i="1" s="1"/>
  <c r="B438" i="1"/>
  <c r="C438" i="1" s="1"/>
  <c r="T371" i="1"/>
  <c r="BG444" i="1"/>
  <c r="BH444" i="1" s="1"/>
  <c r="BH353" i="1"/>
  <c r="BI346" i="1"/>
  <c r="BS442" i="1"/>
  <c r="BM440" i="1" s="1"/>
  <c r="BM439" i="1" s="1"/>
  <c r="BC441" i="1"/>
  <c r="BT443" i="1"/>
  <c r="BU442" i="1"/>
  <c r="BG421" i="1"/>
  <c r="BH421" i="1" s="1"/>
  <c r="B199" i="1"/>
  <c r="C199" i="1" s="1"/>
  <c r="U151" i="1"/>
  <c r="R124" i="1"/>
  <c r="AJ151" i="1"/>
  <c r="A174" i="1"/>
  <c r="B173" i="1" s="1"/>
  <c r="C173" i="1" s="1"/>
  <c r="B176" i="1"/>
  <c r="T201" i="1"/>
  <c r="U200" i="1" s="1"/>
  <c r="V200" i="1" s="1"/>
  <c r="AN154" i="1"/>
  <c r="AO154" i="1" s="1"/>
  <c r="AO220" i="1"/>
  <c r="T439" i="1"/>
  <c r="T444" i="1" s="1"/>
  <c r="V421" i="1"/>
  <c r="W414" i="1"/>
  <c r="AN437" i="1"/>
  <c r="AO437" i="1" s="1"/>
  <c r="AN462" i="1"/>
  <c r="AO462" i="1" s="1"/>
  <c r="BG369" i="1"/>
  <c r="BH369" i="1" s="1"/>
  <c r="AN376" i="1"/>
  <c r="AO376" i="1" s="1"/>
  <c r="BA469" i="1"/>
  <c r="BH374" i="1"/>
  <c r="AO467" i="1"/>
  <c r="BF464" i="1"/>
  <c r="V442" i="1"/>
  <c r="V374" i="1"/>
  <c r="A396" i="1"/>
  <c r="B131" i="1"/>
  <c r="C131" i="1" s="1"/>
  <c r="T217" i="1"/>
  <c r="U199" i="1"/>
  <c r="BF242" i="1"/>
  <c r="BG241" i="1" s="1"/>
  <c r="BH241" i="1" s="1"/>
  <c r="AO245" i="1"/>
  <c r="AM242" i="1"/>
  <c r="AM180" i="1"/>
  <c r="AM179" i="1"/>
  <c r="T149" i="1"/>
  <c r="U148" i="1" s="1"/>
  <c r="V148" i="1" s="1"/>
  <c r="B215" i="1"/>
  <c r="C215" i="1" s="1"/>
  <c r="C220" i="1"/>
  <c r="AH222" i="1"/>
  <c r="F155" i="1"/>
  <c r="O155" i="1"/>
  <c r="O156" i="1"/>
  <c r="F156" i="1" s="1"/>
  <c r="BA470" i="1"/>
  <c r="AR470" i="1"/>
  <c r="BA471" i="1"/>
  <c r="AR471" i="1" s="1"/>
  <c r="P443" i="1"/>
  <c r="P442" i="1"/>
  <c r="Y445" i="1"/>
  <c r="AH445" i="1"/>
  <c r="AH446" i="1"/>
  <c r="Y446" i="1" s="1"/>
  <c r="AR223" i="1"/>
  <c r="BA223" i="1"/>
  <c r="BA224" i="1"/>
  <c r="AR224" i="1" s="1"/>
  <c r="P179" i="1"/>
  <c r="O177" i="1"/>
  <c r="P173" i="1" s="1"/>
  <c r="AR248" i="1"/>
  <c r="BA248" i="1"/>
  <c r="AI154" i="1"/>
  <c r="AH152" i="1"/>
  <c r="AI148" i="1" s="1"/>
  <c r="E237" i="1"/>
  <c r="E235" i="1"/>
  <c r="F223" i="1"/>
  <c r="O223" i="1"/>
  <c r="AI176" i="1"/>
  <c r="V171" i="1"/>
  <c r="AH175" i="1" s="1"/>
  <c r="AI180" i="1"/>
  <c r="BJ391" i="1"/>
  <c r="BJ389" i="1"/>
  <c r="BH121" i="1"/>
  <c r="B468" i="1"/>
  <c r="D468" i="1" s="1"/>
  <c r="E468" i="1" s="1"/>
  <c r="BL147" i="1"/>
  <c r="AN215" i="1"/>
  <c r="AO215" i="1" s="1"/>
  <c r="AT221" i="1"/>
  <c r="BA219" i="1"/>
  <c r="B147" i="1"/>
  <c r="C147" i="1" s="1"/>
  <c r="O151" i="1"/>
  <c r="N150" i="1" s="1"/>
  <c r="H153" i="1"/>
  <c r="BH245" i="1"/>
  <c r="V121" i="1"/>
  <c r="P396" i="1"/>
  <c r="C398" i="1"/>
  <c r="A201" i="1"/>
  <c r="B200" i="1" s="1"/>
  <c r="C200" i="1" s="1"/>
  <c r="D192" i="1" s="1"/>
  <c r="E192" i="1" s="1"/>
  <c r="F192" i="1" s="1"/>
  <c r="BG216" i="1"/>
  <c r="BH216" i="1" s="1"/>
  <c r="BF218" i="1"/>
  <c r="BG215" i="1"/>
  <c r="BH215" i="1" s="1"/>
  <c r="BG462" i="1"/>
  <c r="BH462" i="1" s="1"/>
  <c r="BM468" i="1"/>
  <c r="BT466" i="1"/>
  <c r="AO442" i="1"/>
  <c r="F373" i="1"/>
  <c r="P174" i="1"/>
  <c r="C176" i="1"/>
  <c r="AN240" i="1"/>
  <c r="AO240" i="1" s="1"/>
  <c r="AT246" i="1"/>
  <c r="BA244" i="1"/>
  <c r="AM439" i="1"/>
  <c r="AT443" i="1"/>
  <c r="BA441" i="1"/>
  <c r="BG244" i="1"/>
  <c r="AG373" i="1"/>
  <c r="T375" i="1"/>
  <c r="BJ167" i="1"/>
  <c r="BJ169" i="1"/>
  <c r="B246" i="1"/>
  <c r="D246" i="1" s="1"/>
  <c r="E246" i="1" s="1"/>
  <c r="O247" i="1" s="1"/>
  <c r="BW197" i="1"/>
  <c r="BW192" i="1"/>
  <c r="AG219" i="1"/>
  <c r="T221" i="1"/>
  <c r="AS394" i="1"/>
  <c r="AM156" i="1"/>
  <c r="AN155" i="1" s="1"/>
  <c r="AO155" i="1" s="1"/>
  <c r="AP147" i="1" s="1"/>
  <c r="AQ147" i="1" s="1"/>
  <c r="AR147" i="1" s="1"/>
  <c r="A179" i="1"/>
  <c r="AR376" i="1"/>
  <c r="AN372" i="1"/>
  <c r="AO372" i="1" s="1"/>
  <c r="BA375" i="1"/>
  <c r="AP374" i="1"/>
  <c r="Q466" i="1"/>
  <c r="E459" i="1"/>
  <c r="E457" i="1"/>
  <c r="BS244" i="1"/>
  <c r="BF246" i="1"/>
  <c r="AI130" i="1"/>
  <c r="AI129" i="1"/>
  <c r="BB130" i="1"/>
  <c r="BB129" i="1"/>
  <c r="AA419" i="1"/>
  <c r="AA421" i="1" s="1"/>
  <c r="AK422" i="1"/>
  <c r="AZ178" i="1"/>
  <c r="AR178" i="1" s="1"/>
  <c r="AN219" i="1"/>
  <c r="X372" i="1"/>
  <c r="N219" i="1"/>
  <c r="BW200" i="1"/>
  <c r="AA196" i="1"/>
  <c r="BT373" i="1"/>
  <c r="BS372" i="1" s="1"/>
  <c r="BM375" i="1"/>
  <c r="AI398" i="1"/>
  <c r="V393" i="1"/>
  <c r="AH397" i="1" s="1"/>
  <c r="AI402" i="1"/>
  <c r="BJ243" i="1"/>
  <c r="AH151" i="1"/>
  <c r="AG150" i="1" s="1"/>
  <c r="AA153" i="1"/>
  <c r="N443" i="1"/>
  <c r="F443" i="1" s="1"/>
  <c r="B444" i="1"/>
  <c r="C444" i="1" s="1"/>
  <c r="AN244" i="1"/>
  <c r="C343" i="1"/>
  <c r="D411" i="1"/>
  <c r="D410" i="1" s="1"/>
  <c r="E410" i="1"/>
  <c r="BB444" i="1"/>
  <c r="BA442" i="1"/>
  <c r="BB438" i="1" s="1"/>
  <c r="F402" i="1"/>
  <c r="O402" i="1"/>
  <c r="AI217" i="1"/>
  <c r="V219" i="1"/>
  <c r="T239" i="1"/>
  <c r="T235" i="1"/>
  <c r="T238" i="1"/>
  <c r="N375" i="1"/>
  <c r="F375" i="1" s="1"/>
  <c r="AR179" i="1"/>
  <c r="AN175" i="1"/>
  <c r="AO175" i="1" s="1"/>
  <c r="BG178" i="1"/>
  <c r="BI178" i="1" s="1"/>
  <c r="BJ178" i="1" s="1"/>
  <c r="BV176" i="1" s="1"/>
  <c r="N242" i="1"/>
  <c r="O403" i="1"/>
  <c r="F403" i="1" s="1"/>
  <c r="N176" i="1"/>
  <c r="A178" i="1"/>
  <c r="AG441" i="1"/>
  <c r="T443" i="1"/>
  <c r="P376" i="1"/>
  <c r="O374" i="1"/>
  <c r="P370" i="1" s="1"/>
  <c r="AN216" i="1"/>
  <c r="AO216" i="1" s="1"/>
  <c r="AM218" i="1"/>
  <c r="AP220" i="1" s="1"/>
  <c r="AQ219" i="1" s="1"/>
  <c r="B148" i="1"/>
  <c r="C148" i="1" s="1"/>
  <c r="A150" i="1"/>
  <c r="O153" i="1" s="1"/>
  <c r="BB242" i="1"/>
  <c r="AO244" i="1"/>
  <c r="B370" i="1"/>
  <c r="C370" i="1" s="1"/>
  <c r="A372" i="1"/>
  <c r="A377" i="1"/>
  <c r="A376" i="1"/>
  <c r="BC244" i="1"/>
  <c r="BH373" i="1"/>
  <c r="BU371" i="1"/>
  <c r="BA466" i="1"/>
  <c r="AT468" i="1"/>
  <c r="BG400" i="1"/>
  <c r="BI400" i="1" s="1"/>
  <c r="BJ400" i="1" s="1"/>
  <c r="AS192" i="1"/>
  <c r="AR195" i="1" s="1"/>
  <c r="AS195" i="1" s="1"/>
  <c r="AN189" i="1" s="1"/>
  <c r="T394" i="1"/>
  <c r="X399" i="1"/>
  <c r="T399" i="1"/>
  <c r="T398" i="1"/>
  <c r="X397" i="1" s="1"/>
  <c r="AJ397" i="1"/>
  <c r="T395" i="1"/>
  <c r="F441" i="1"/>
  <c r="BS219" i="1"/>
  <c r="BI220" i="1"/>
  <c r="BJ219" i="1" s="1"/>
  <c r="BB420" i="1"/>
  <c r="BB419" i="1"/>
  <c r="BG463" i="1"/>
  <c r="BH463" i="1" s="1"/>
  <c r="BF465" i="1"/>
  <c r="BI467" i="1" s="1"/>
  <c r="BJ466" i="1" s="1"/>
  <c r="AZ440" i="1"/>
  <c r="BK421" i="1"/>
  <c r="BG417" i="1"/>
  <c r="BH417" i="1" s="1"/>
  <c r="BI419" i="1"/>
  <c r="AN241" i="1"/>
  <c r="AO241" i="1" s="1"/>
  <c r="AM243" i="1"/>
  <c r="BA246" i="1" s="1"/>
  <c r="BI243" i="1"/>
  <c r="AG464" i="1"/>
  <c r="AZ218" i="1"/>
  <c r="U369" i="1"/>
  <c r="V369" i="1" s="1"/>
  <c r="X177" i="1"/>
  <c r="T177" i="1"/>
  <c r="T176" i="1"/>
  <c r="X175" i="1" s="1"/>
  <c r="AH181" i="1" s="1"/>
  <c r="Y181" i="1" s="1"/>
  <c r="AJ175" i="1"/>
  <c r="T173" i="1"/>
  <c r="T172" i="1"/>
  <c r="U215" i="1"/>
  <c r="V215" i="1" s="1"/>
  <c r="BW419" i="1"/>
  <c r="BW414" i="1"/>
  <c r="AS414" i="1"/>
  <c r="AR417" i="1" s="1"/>
  <c r="AS417" i="1" s="1"/>
  <c r="AN411" i="1" s="1"/>
  <c r="AQ154" i="1"/>
  <c r="BG240" i="1"/>
  <c r="BH240" i="1" s="1"/>
  <c r="BI437" i="1"/>
  <c r="BJ437" i="1" s="1"/>
  <c r="BK437" i="1" s="1"/>
  <c r="Y155" i="1"/>
  <c r="AH155" i="1"/>
  <c r="BA178" i="1"/>
  <c r="A154" i="1"/>
  <c r="N440" i="1"/>
  <c r="N442" i="1" s="1"/>
  <c r="H440" i="1" s="1"/>
  <c r="H439" i="1" s="1"/>
  <c r="AO441" i="1"/>
  <c r="BB439" i="1"/>
  <c r="B394" i="1"/>
  <c r="C394" i="1" s="1"/>
  <c r="O398" i="1"/>
  <c r="N397" i="1" s="1"/>
  <c r="H400" i="1"/>
  <c r="A133" i="1"/>
  <c r="B132" i="1" s="1"/>
  <c r="C132" i="1" s="1"/>
  <c r="D124" i="1" s="1"/>
  <c r="E124" i="1" s="1"/>
  <c r="F124" i="1" s="1"/>
  <c r="V220" i="1"/>
  <c r="N372" i="1"/>
  <c r="H373" i="1" s="1"/>
  <c r="N376" i="1" s="1"/>
  <c r="AI149" i="1"/>
  <c r="V151" i="1"/>
  <c r="AI470" i="1"/>
  <c r="AI466" i="1"/>
  <c r="V461" i="1"/>
  <c r="AH465" i="1" s="1"/>
  <c r="BG219" i="1"/>
  <c r="AP177" i="1"/>
  <c r="AQ176" i="1" s="1"/>
  <c r="AO219" i="1"/>
  <c r="BB217" i="1"/>
  <c r="A221" i="1"/>
  <c r="R197" i="1"/>
  <c r="R192" i="1"/>
  <c r="F445" i="1"/>
  <c r="O443" i="1"/>
  <c r="O445" i="1"/>
  <c r="O446" i="1"/>
  <c r="F446" i="1" s="1"/>
  <c r="BF371" i="1"/>
  <c r="AT197" i="1"/>
  <c r="AT199" i="1" s="1"/>
  <c r="BD200" i="1"/>
  <c r="U393" i="1"/>
  <c r="AK200" i="1"/>
  <c r="BF223" i="1"/>
  <c r="B219" i="1"/>
  <c r="BG466" i="1"/>
  <c r="V373" i="1"/>
  <c r="AI371" i="1"/>
  <c r="D437" i="1"/>
  <c r="AO121" i="1"/>
  <c r="BU180" i="1"/>
  <c r="BU176" i="1"/>
  <c r="BH171" i="1"/>
  <c r="BT175" i="1" s="1"/>
  <c r="BG171" i="1"/>
  <c r="BS174" i="1" s="1"/>
  <c r="E245" i="1"/>
  <c r="A245" i="1"/>
  <c r="A244" i="1"/>
  <c r="E243" i="1" s="1"/>
  <c r="A241" i="1"/>
  <c r="A240" i="1"/>
  <c r="Q243" i="1"/>
  <c r="W175" i="1"/>
  <c r="BJ399" i="1"/>
  <c r="BF399" i="1"/>
  <c r="BF398" i="1"/>
  <c r="BJ397" i="1" s="1"/>
  <c r="BF395" i="1"/>
  <c r="BV397" i="1"/>
  <c r="BF394" i="1"/>
  <c r="P149" i="1"/>
  <c r="C151" i="1"/>
  <c r="U438" i="1"/>
  <c r="V438" i="1" s="1"/>
  <c r="T440" i="1"/>
  <c r="P466" i="1"/>
  <c r="P470" i="1"/>
  <c r="C461" i="1"/>
  <c r="O465" i="1" s="1"/>
  <c r="AZ219" i="1"/>
  <c r="N151" i="1"/>
  <c r="A153" i="1"/>
  <c r="P217" i="1"/>
  <c r="C219" i="1"/>
  <c r="BA247" i="1"/>
  <c r="C177" i="1"/>
  <c r="BT376" i="1"/>
  <c r="AM464" i="1"/>
  <c r="BH393" i="1"/>
  <c r="BT397" i="1" s="1"/>
  <c r="BU402" i="1"/>
  <c r="BU398" i="1"/>
  <c r="BG393" i="1"/>
  <c r="P352" i="1"/>
  <c r="P351" i="1"/>
  <c r="E175" i="1"/>
  <c r="F199" i="1"/>
  <c r="B195" i="1"/>
  <c r="C195" i="1" s="1"/>
  <c r="D197" i="1"/>
  <c r="F444" i="1"/>
  <c r="B440" i="1"/>
  <c r="C440" i="1" s="1"/>
  <c r="BM221" i="1"/>
  <c r="BT219" i="1"/>
  <c r="BS218" i="1" s="1"/>
  <c r="AP465" i="1"/>
  <c r="BS466" i="1"/>
  <c r="BF468" i="1"/>
  <c r="U373" i="1"/>
  <c r="W372" i="1"/>
  <c r="BJ192" i="1"/>
  <c r="BK192" i="1" s="1"/>
  <c r="AP245" i="1"/>
  <c r="AQ244" i="1" s="1"/>
  <c r="AZ244" i="1"/>
  <c r="AM246" i="1"/>
  <c r="AZ441" i="1"/>
  <c r="AM443" i="1"/>
  <c r="BH244" i="1"/>
  <c r="BU242" i="1"/>
  <c r="X459" i="1"/>
  <c r="X457" i="1"/>
  <c r="U370" i="1"/>
  <c r="V370" i="1" s="1"/>
  <c r="T372" i="1"/>
  <c r="AA375" i="1"/>
  <c r="AH373" i="1"/>
  <c r="AI439" i="1"/>
  <c r="V441" i="1"/>
  <c r="BS197" i="1"/>
  <c r="BM195" i="1" s="1"/>
  <c r="BM194" i="1" s="1"/>
  <c r="AG174" i="1"/>
  <c r="U216" i="1"/>
  <c r="V216" i="1" s="1"/>
  <c r="T218" i="1"/>
  <c r="AH221" i="1" s="1"/>
  <c r="AA221" i="1"/>
  <c r="AH219" i="1"/>
  <c r="AG218" i="1" s="1"/>
  <c r="D150" i="1"/>
  <c r="B151" i="1"/>
  <c r="AR154" i="1"/>
  <c r="AN150" i="1"/>
  <c r="AO150" i="1" s="1"/>
  <c r="AP152" i="1"/>
  <c r="Q176" i="1"/>
  <c r="Q465" i="1"/>
  <c r="E467" i="1"/>
  <c r="A467" i="1"/>
  <c r="A466" i="1"/>
  <c r="A463" i="1"/>
  <c r="A464" i="1" s="1"/>
  <c r="A462" i="1"/>
  <c r="BT244" i="1"/>
  <c r="BM246" i="1"/>
  <c r="BJ151" i="1"/>
  <c r="BI151" i="1"/>
  <c r="BJ155" i="1" s="1"/>
  <c r="E437" i="1"/>
  <c r="F437" i="1" s="1"/>
  <c r="BJ218" i="1"/>
  <c r="A155" i="1"/>
  <c r="BJ465" i="1"/>
  <c r="B395" i="1"/>
  <c r="C395" i="1" s="1"/>
  <c r="A397" i="1"/>
  <c r="F131" i="1"/>
  <c r="B127" i="1"/>
  <c r="C127" i="1" s="1"/>
  <c r="D129" i="1"/>
  <c r="O130" i="1"/>
  <c r="R123" i="1" s="1"/>
  <c r="BB352" i="1"/>
  <c r="BB351" i="1"/>
  <c r="BI218" i="1"/>
  <c r="W440" i="1"/>
  <c r="H221" i="1"/>
  <c r="O219" i="1"/>
  <c r="BS373" i="1"/>
  <c r="BF375" i="1"/>
  <c r="AQ401" i="1"/>
  <c r="AS401" i="1" s="1"/>
  <c r="BJ154" i="1"/>
  <c r="BL154" i="1" s="1"/>
  <c r="AG151" i="1"/>
  <c r="T153" i="1"/>
  <c r="D218" i="1"/>
  <c r="BI465" i="1"/>
  <c r="D397" i="1"/>
  <c r="F377" i="1"/>
  <c r="O375" i="1"/>
  <c r="O377" i="1"/>
  <c r="O378" i="1"/>
  <c r="F378" i="1" s="1"/>
  <c r="BB464" i="1"/>
  <c r="AO466" i="1"/>
  <c r="X239" i="1"/>
  <c r="U235" i="1"/>
  <c r="U245" i="1"/>
  <c r="AI243" i="1"/>
  <c r="U238" i="1"/>
  <c r="AH376" i="1"/>
  <c r="BI372" i="1"/>
  <c r="BG373" i="1"/>
  <c r="AJ373" i="1"/>
  <c r="BB179" i="1"/>
  <c r="BA177" i="1"/>
  <c r="BB173" i="1" s="1"/>
  <c r="U178" i="1"/>
  <c r="W178" i="1" s="1"/>
  <c r="X178" i="1" s="1"/>
  <c r="AJ176" i="1" s="1"/>
  <c r="C399" i="1"/>
  <c r="BT377" i="1"/>
  <c r="BK377" i="1"/>
  <c r="O154" i="1"/>
  <c r="B172" i="1"/>
  <c r="C172" i="1" s="1"/>
  <c r="O176" i="1"/>
  <c r="H178" i="1"/>
  <c r="U437" i="1"/>
  <c r="V437" i="1" s="1"/>
  <c r="AH441" i="1"/>
  <c r="AG440" i="1" s="1"/>
  <c r="AA443" i="1"/>
  <c r="BS465" i="1"/>
  <c r="BH467" i="1"/>
  <c r="B461" i="1"/>
  <c r="AM221" i="1"/>
  <c r="O222" i="1"/>
  <c r="U219" i="1"/>
  <c r="W218" i="1"/>
  <c r="AR176" i="1"/>
  <c r="AZ466" i="1"/>
  <c r="AM468" i="1"/>
  <c r="AH223" i="1"/>
  <c r="Y223" i="1"/>
  <c r="BV373" i="1"/>
  <c r="T445" i="1"/>
  <c r="U444" i="1" s="1"/>
  <c r="V444" i="1" s="1"/>
  <c r="X389" i="1"/>
  <c r="X391" i="1"/>
  <c r="BF221" i="1"/>
  <c r="BI219" i="1" s="1"/>
  <c r="BJ223" i="1" s="1"/>
  <c r="AN466" i="1"/>
  <c r="BF423" i="1"/>
  <c r="BG422" i="1" s="1"/>
  <c r="BH422" i="1" s="1"/>
  <c r="BT247" i="1"/>
  <c r="V152" i="1"/>
  <c r="X467" i="1"/>
  <c r="T467" i="1"/>
  <c r="T466" i="1"/>
  <c r="AJ465" i="1"/>
  <c r="T462" i="1"/>
  <c r="T463" i="1"/>
  <c r="BH220" i="1"/>
  <c r="BV175" i="1"/>
  <c r="BF172" i="1"/>
  <c r="BJ177" i="1"/>
  <c r="BF177" i="1"/>
  <c r="BF176" i="1"/>
  <c r="BF173" i="1"/>
  <c r="BF174" i="1" s="1"/>
  <c r="AH444" i="1"/>
  <c r="P244" i="1"/>
  <c r="P248" i="1"/>
  <c r="C239" i="1"/>
  <c r="O243" i="1" s="1"/>
  <c r="X167" i="1"/>
  <c r="X169" i="1"/>
  <c r="BT420" i="1"/>
  <c r="AR349" i="1"/>
  <c r="AS349" i="1" s="1"/>
  <c r="AN343" i="1" s="1"/>
  <c r="AZ175" i="1"/>
  <c r="AT176" i="1" s="1"/>
  <c r="AZ179" i="1" s="1"/>
  <c r="AM378" i="1"/>
  <c r="AN377" i="1" s="1"/>
  <c r="AO377" i="1" s="1"/>
  <c r="AP369" i="1" s="1"/>
  <c r="AQ369" i="1" s="1"/>
  <c r="AR369" i="1" s="1"/>
  <c r="BA153" i="1"/>
  <c r="Q151" i="1"/>
  <c r="D399" i="1"/>
  <c r="E398" i="1" s="1"/>
  <c r="N398" i="1"/>
  <c r="A400" i="1"/>
  <c r="AQ440" i="1"/>
  <c r="V343" i="1"/>
  <c r="U468" i="1"/>
  <c r="W468" i="1" s="1"/>
  <c r="X468" i="1" s="1"/>
  <c r="AJ466" i="1" s="1"/>
  <c r="BH219" i="1"/>
  <c r="BU217" i="1"/>
  <c r="AP176" i="1"/>
  <c r="AQ180" i="1" s="1"/>
  <c r="AP218" i="1"/>
  <c r="AG371" i="1"/>
  <c r="U441" i="1"/>
  <c r="A217" i="1"/>
  <c r="O198" i="1"/>
  <c r="C152" i="1"/>
  <c r="U400" i="1"/>
  <c r="W400" i="1" s="1"/>
  <c r="X400" i="1" s="1"/>
  <c r="BH466" i="1"/>
  <c r="BU464" i="1"/>
  <c r="U147" i="1"/>
  <c r="V147" i="1" s="1"/>
  <c r="D441" i="1"/>
  <c r="E445" i="1" s="1"/>
  <c r="BV219" i="1"/>
  <c r="BF222" i="1"/>
  <c r="BF224" i="1" s="1"/>
  <c r="BG223" i="1" s="1"/>
  <c r="BH223" i="1" s="1"/>
  <c r="AP243" i="1"/>
  <c r="B398" i="1"/>
  <c r="S129" i="1" l="1"/>
  <c r="S127" i="1" s="1"/>
  <c r="AA197" i="1"/>
  <c r="AA199" i="1" s="1"/>
  <c r="T150" i="1"/>
  <c r="B154" i="1"/>
  <c r="C154" i="1" s="1"/>
  <c r="E199" i="1"/>
  <c r="G199" i="1" s="1"/>
  <c r="BF243" i="1"/>
  <c r="BI245" i="1" s="1"/>
  <c r="BJ244" i="1" s="1"/>
  <c r="AP219" i="1"/>
  <c r="AQ223" i="1" s="1"/>
  <c r="AM222" i="1"/>
  <c r="AM223" i="1"/>
  <c r="T377" i="1"/>
  <c r="T376" i="1"/>
  <c r="B376" i="1"/>
  <c r="C376" i="1" s="1"/>
  <c r="BI414" i="1"/>
  <c r="BJ414" i="1" s="1"/>
  <c r="BK414" i="1" s="1"/>
  <c r="BM442" i="1"/>
  <c r="BM444" i="1" s="1"/>
  <c r="BJ353" i="1"/>
  <c r="BL353" i="1" s="1"/>
  <c r="BJ346" i="1"/>
  <c r="BK346" i="1" s="1"/>
  <c r="BL346" i="1" s="1"/>
  <c r="U176" i="1"/>
  <c r="A180" i="1"/>
  <c r="B179" i="1" s="1"/>
  <c r="C179" i="1" s="1"/>
  <c r="A175" i="1"/>
  <c r="D177" i="1" s="1"/>
  <c r="E176" i="1" s="1"/>
  <c r="P178" i="1" s="1"/>
  <c r="D152" i="1"/>
  <c r="E151" i="1" s="1"/>
  <c r="P153" i="1" s="1"/>
  <c r="X421" i="1"/>
  <c r="Z421" i="1" s="1"/>
  <c r="X414" i="1"/>
  <c r="Y414" i="1" s="1"/>
  <c r="Z414" i="1" s="1"/>
  <c r="BH399" i="1"/>
  <c r="BF396" i="1"/>
  <c r="BF401" i="1" s="1"/>
  <c r="BF469" i="1"/>
  <c r="BF470" i="1"/>
  <c r="T464" i="1"/>
  <c r="T469" i="1" s="1"/>
  <c r="T396" i="1"/>
  <c r="A402" i="1"/>
  <c r="A401" i="1"/>
  <c r="V399" i="1"/>
  <c r="B240" i="1"/>
  <c r="C240" i="1" s="1"/>
  <c r="V199" i="1"/>
  <c r="W192" i="1"/>
  <c r="T174" i="1"/>
  <c r="U173" i="1" s="1"/>
  <c r="V173" i="1" s="1"/>
  <c r="T222" i="1"/>
  <c r="T223" i="1"/>
  <c r="AN179" i="1"/>
  <c r="AO179" i="1" s="1"/>
  <c r="BT179" i="1"/>
  <c r="AM248" i="1"/>
  <c r="AM247" i="1"/>
  <c r="AM181" i="1"/>
  <c r="AN180" i="1" s="1"/>
  <c r="AO180" i="1" s="1"/>
  <c r="AP172" i="1" s="1"/>
  <c r="BF247" i="1"/>
  <c r="BF248" i="1"/>
  <c r="BH177" i="1"/>
  <c r="T154" i="1"/>
  <c r="T155" i="1"/>
  <c r="C245" i="1"/>
  <c r="BU246" i="1"/>
  <c r="BU245" i="1"/>
  <c r="BT402" i="1"/>
  <c r="BK402" i="1"/>
  <c r="BT403" i="1"/>
  <c r="BK403" i="1" s="1"/>
  <c r="AH402" i="1"/>
  <c r="Y402" i="1"/>
  <c r="AH403" i="1"/>
  <c r="Y403" i="1" s="1"/>
  <c r="F248" i="1"/>
  <c r="O248" i="1"/>
  <c r="O249" i="1"/>
  <c r="F249" i="1" s="1"/>
  <c r="V398" i="1"/>
  <c r="AI396" i="1"/>
  <c r="BB222" i="1"/>
  <c r="BA220" i="1"/>
  <c r="BB216" i="1" s="1"/>
  <c r="N400" i="1"/>
  <c r="F400" i="1" s="1"/>
  <c r="N399" i="1"/>
  <c r="H397" i="1" s="1"/>
  <c r="H396" i="1" s="1"/>
  <c r="AS369" i="1"/>
  <c r="BM178" i="1"/>
  <c r="BT176" i="1"/>
  <c r="BL414" i="1"/>
  <c r="F176" i="1"/>
  <c r="BU376" i="1"/>
  <c r="BT374" i="1"/>
  <c r="BU370" i="1" s="1"/>
  <c r="F219" i="1"/>
  <c r="BU222" i="1"/>
  <c r="BT220" i="1"/>
  <c r="BU216" i="1" s="1"/>
  <c r="BU153" i="1"/>
  <c r="BU152" i="1"/>
  <c r="BM152" i="1" s="1"/>
  <c r="BM154" i="1" s="1"/>
  <c r="B463" i="1"/>
  <c r="C463" i="1" s="1"/>
  <c r="A465" i="1"/>
  <c r="AZ246" i="1"/>
  <c r="AR246" i="1" s="1"/>
  <c r="BS468" i="1"/>
  <c r="BK468" i="1" s="1"/>
  <c r="BS467" i="1"/>
  <c r="BM465" i="1" s="1"/>
  <c r="BM464" i="1" s="1"/>
  <c r="F180" i="1"/>
  <c r="O180" i="1"/>
  <c r="O181" i="1"/>
  <c r="F181" i="1" s="1"/>
  <c r="BB221" i="1"/>
  <c r="BB220" i="1"/>
  <c r="BG394" i="1"/>
  <c r="BH394" i="1" s="1"/>
  <c r="O244" i="1"/>
  <c r="N243" i="1" s="1"/>
  <c r="H246" i="1"/>
  <c r="BS175" i="1"/>
  <c r="BB178" i="1"/>
  <c r="BB177" i="1"/>
  <c r="V467" i="1"/>
  <c r="F398" i="1"/>
  <c r="H398" i="1"/>
  <c r="N401" i="1" s="1"/>
  <c r="BL437" i="1"/>
  <c r="AH176" i="1"/>
  <c r="AG175" i="1" s="1"/>
  <c r="AA178" i="1"/>
  <c r="H441" i="1"/>
  <c r="N444" i="1" s="1"/>
  <c r="U394" i="1"/>
  <c r="V394" i="1" s="1"/>
  <c r="BH398" i="1"/>
  <c r="BU396" i="1"/>
  <c r="N175" i="1"/>
  <c r="H176" i="1" s="1"/>
  <c r="N179" i="1" s="1"/>
  <c r="D176" i="1"/>
  <c r="E180" i="1" s="1"/>
  <c r="X237" i="1"/>
  <c r="X235" i="1"/>
  <c r="N218" i="1"/>
  <c r="H219" i="1" s="1"/>
  <c r="N222" i="1" s="1"/>
  <c r="E444" i="1"/>
  <c r="G444" i="1" s="1"/>
  <c r="BT248" i="1"/>
  <c r="BT246" i="1"/>
  <c r="BK248" i="1"/>
  <c r="BT249" i="1"/>
  <c r="BK249" i="1" s="1"/>
  <c r="BM373" i="1"/>
  <c r="BS376" i="1" s="1"/>
  <c r="BK373" i="1"/>
  <c r="N221" i="1"/>
  <c r="F221" i="1" s="1"/>
  <c r="AZ177" i="1"/>
  <c r="AT175" i="1" s="1"/>
  <c r="AT174" i="1" s="1"/>
  <c r="U466" i="1"/>
  <c r="AA129" i="1"/>
  <c r="AA131" i="1" s="1"/>
  <c r="AK132" i="1"/>
  <c r="AK133" i="1"/>
  <c r="A469" i="1"/>
  <c r="B244" i="1"/>
  <c r="AR244" i="1"/>
  <c r="AH401" i="1"/>
  <c r="B216" i="1"/>
  <c r="C216" i="1" s="1"/>
  <c r="A218" i="1"/>
  <c r="A222" i="1"/>
  <c r="A223" i="1"/>
  <c r="W343" i="1"/>
  <c r="X342" i="1"/>
  <c r="P400" i="1"/>
  <c r="P399" i="1"/>
  <c r="H399" i="1" s="1"/>
  <c r="BG173" i="1"/>
  <c r="BH173" i="1" s="1"/>
  <c r="BF175" i="1"/>
  <c r="AG466" i="1"/>
  <c r="T468" i="1"/>
  <c r="AZ468" i="1"/>
  <c r="AR468" i="1" s="1"/>
  <c r="D465" i="1"/>
  <c r="B466" i="1"/>
  <c r="Y441" i="1"/>
  <c r="AA441" i="1"/>
  <c r="AG444" i="1" s="1"/>
  <c r="P401" i="1"/>
  <c r="O399" i="1"/>
  <c r="P395" i="1" s="1"/>
  <c r="AG153" i="1"/>
  <c r="Y153" i="1" s="1"/>
  <c r="AG152" i="1"/>
  <c r="AA150" i="1" s="1"/>
  <c r="AA149" i="1" s="1"/>
  <c r="BS375" i="1"/>
  <c r="BK375" i="1" s="1"/>
  <c r="BS374" i="1"/>
  <c r="BM372" i="1" s="1"/>
  <c r="BM371" i="1" s="1"/>
  <c r="F401" i="1"/>
  <c r="B397" i="1"/>
  <c r="C397" i="1" s="1"/>
  <c r="BT223" i="1"/>
  <c r="BK223" i="1"/>
  <c r="BT221" i="1"/>
  <c r="BT224" i="1"/>
  <c r="BK224" i="1" s="1"/>
  <c r="D467" i="1"/>
  <c r="E466" i="1" s="1"/>
  <c r="N466" i="1"/>
  <c r="A468" i="1"/>
  <c r="Y219" i="1"/>
  <c r="AA219" i="1"/>
  <c r="AG222" i="1" s="1"/>
  <c r="Y376" i="1"/>
  <c r="U372" i="1"/>
  <c r="V372" i="1" s="1"/>
  <c r="AZ443" i="1"/>
  <c r="AR443" i="1" s="1"/>
  <c r="AZ442" i="1"/>
  <c r="AT440" i="1" s="1"/>
  <c r="AT439" i="1" s="1"/>
  <c r="BB246" i="1"/>
  <c r="BB245" i="1"/>
  <c r="BU468" i="1"/>
  <c r="BU467" i="1"/>
  <c r="BM467" i="1" s="1"/>
  <c r="E196" i="1"/>
  <c r="D196" i="1"/>
  <c r="E200" i="1" s="1"/>
  <c r="H351" i="1"/>
  <c r="H353" i="1" s="1"/>
  <c r="R354" i="1"/>
  <c r="R355" i="1"/>
  <c r="AN463" i="1"/>
  <c r="AO463" i="1" s="1"/>
  <c r="AM465" i="1"/>
  <c r="AM469" i="1"/>
  <c r="AM470" i="1"/>
  <c r="N153" i="1"/>
  <c r="F153" i="1" s="1"/>
  <c r="N152" i="1"/>
  <c r="H150" i="1" s="1"/>
  <c r="H149" i="1" s="1"/>
  <c r="BT398" i="1"/>
  <c r="BS397" i="1" s="1"/>
  <c r="BM400" i="1"/>
  <c r="AI179" i="1"/>
  <c r="AH177" i="1"/>
  <c r="AI173" i="1" s="1"/>
  <c r="A242" i="1"/>
  <c r="BG370" i="1"/>
  <c r="BH370" i="1" s="1"/>
  <c r="BF372" i="1"/>
  <c r="BF377" i="1"/>
  <c r="BF376" i="1"/>
  <c r="BF378" i="1" s="1"/>
  <c r="BG377" i="1" s="1"/>
  <c r="BH377" i="1" s="1"/>
  <c r="AS154" i="1"/>
  <c r="BU247" i="1"/>
  <c r="BT245" i="1"/>
  <c r="BU241" i="1" s="1"/>
  <c r="BJ418" i="1"/>
  <c r="BI418" i="1"/>
  <c r="BJ422" i="1" s="1"/>
  <c r="BK469" i="1"/>
  <c r="BG465" i="1"/>
  <c r="BH465" i="1" s="1"/>
  <c r="BU221" i="1"/>
  <c r="BU220" i="1"/>
  <c r="U395" i="1"/>
  <c r="V395" i="1" s="1"/>
  <c r="T397" i="1"/>
  <c r="AA400" i="1"/>
  <c r="AH398" i="1"/>
  <c r="AG397" i="1" s="1"/>
  <c r="BT401" i="1"/>
  <c r="BJ444" i="1"/>
  <c r="BL444" i="1" s="1"/>
  <c r="A378" i="1"/>
  <c r="B377" i="1" s="1"/>
  <c r="C377" i="1" s="1"/>
  <c r="D369" i="1" s="1"/>
  <c r="E369" i="1" s="1"/>
  <c r="F369" i="1" s="1"/>
  <c r="AR222" i="1"/>
  <c r="AN218" i="1"/>
  <c r="AO218" i="1" s="1"/>
  <c r="N178" i="1"/>
  <c r="F178" i="1" s="1"/>
  <c r="N177" i="1"/>
  <c r="H175" i="1" s="1"/>
  <c r="H174" i="1" s="1"/>
  <c r="N374" i="1"/>
  <c r="H372" i="1" s="1"/>
  <c r="H371" i="1" s="1"/>
  <c r="T240" i="1"/>
  <c r="X245" i="1"/>
  <c r="T245" i="1"/>
  <c r="T244" i="1"/>
  <c r="AJ243" i="1"/>
  <c r="T241" i="1"/>
  <c r="H401" i="1"/>
  <c r="Y151" i="1"/>
  <c r="AA151" i="1"/>
  <c r="AG154" i="1" s="1"/>
  <c r="AK192" i="1"/>
  <c r="AG199" i="1"/>
  <c r="W465" i="1"/>
  <c r="A470" i="1"/>
  <c r="B469" i="1" s="1"/>
  <c r="C469" i="1" s="1"/>
  <c r="AQ373" i="1"/>
  <c r="AP373" i="1"/>
  <c r="AQ377" i="1" s="1"/>
  <c r="P242" i="1"/>
  <c r="C244" i="1"/>
  <c r="AT441" i="1"/>
  <c r="AZ444" i="1" s="1"/>
  <c r="AR441" i="1"/>
  <c r="BJ421" i="1"/>
  <c r="BL421" i="1" s="1"/>
  <c r="H151" i="1"/>
  <c r="N154" i="1" s="1"/>
  <c r="F151" i="1"/>
  <c r="P464" i="1"/>
  <c r="C466" i="1"/>
  <c r="BA221" i="1"/>
  <c r="V466" i="1"/>
  <c r="AI464" i="1"/>
  <c r="AR445" i="1"/>
  <c r="BA445" i="1"/>
  <c r="BA446" i="1"/>
  <c r="AR446" i="1" s="1"/>
  <c r="BK247" i="1"/>
  <c r="BG243" i="1"/>
  <c r="BH243" i="1" s="1"/>
  <c r="AO343" i="1"/>
  <c r="BI177" i="1"/>
  <c r="BJ176" i="1" s="1"/>
  <c r="BS176" i="1"/>
  <c r="BF178" i="1"/>
  <c r="T465" i="1"/>
  <c r="AJ398" i="1"/>
  <c r="AI174" i="1"/>
  <c r="V176" i="1"/>
  <c r="U246" i="1"/>
  <c r="W246" i="1" s="1"/>
  <c r="X246" i="1" s="1"/>
  <c r="AJ244" i="1" s="1"/>
  <c r="AI244" i="1"/>
  <c r="V239" i="1"/>
  <c r="AH243" i="1" s="1"/>
  <c r="AI248" i="1"/>
  <c r="BU469" i="1"/>
  <c r="BT467" i="1"/>
  <c r="BU463" i="1" s="1"/>
  <c r="AT351" i="1"/>
  <c r="AT353" i="1" s="1"/>
  <c r="BD354" i="1"/>
  <c r="BD355" i="1"/>
  <c r="E128" i="1"/>
  <c r="D128" i="1"/>
  <c r="E132" i="1" s="1"/>
  <c r="G437" i="1"/>
  <c r="BK244" i="1"/>
  <c r="AQ151" i="1"/>
  <c r="AP151" i="1"/>
  <c r="AQ155" i="1" s="1"/>
  <c r="P154" i="1"/>
  <c r="O152" i="1"/>
  <c r="P148" i="1" s="1"/>
  <c r="AH180" i="1"/>
  <c r="Y180" i="1"/>
  <c r="BJ175" i="1"/>
  <c r="BL192" i="1"/>
  <c r="BK195" i="1" s="1"/>
  <c r="BL195" i="1" s="1"/>
  <c r="BG189" i="1" s="1"/>
  <c r="BB469" i="1"/>
  <c r="BA467" i="1"/>
  <c r="BB463" i="1" s="1"/>
  <c r="C467" i="1"/>
  <c r="N244" i="1"/>
  <c r="A246" i="1"/>
  <c r="U398" i="1"/>
  <c r="W397" i="1"/>
  <c r="G124" i="1"/>
  <c r="A156" i="1"/>
  <c r="B155" i="1" s="1"/>
  <c r="C155" i="1" s="1"/>
  <c r="D147" i="1" s="1"/>
  <c r="E154" i="1" s="1"/>
  <c r="N464" i="1"/>
  <c r="AO411" i="1"/>
  <c r="AG176" i="1"/>
  <c r="T178" i="1"/>
  <c r="X465" i="1"/>
  <c r="BS221" i="1"/>
  <c r="BK221" i="1" s="1"/>
  <c r="BS220" i="1"/>
  <c r="BM218" i="1" s="1"/>
  <c r="BM217" i="1" s="1"/>
  <c r="AO189" i="1"/>
  <c r="BS243" i="1"/>
  <c r="BM244" i="1" s="1"/>
  <c r="BS247" i="1" s="1"/>
  <c r="E376" i="1"/>
  <c r="AG443" i="1"/>
  <c r="Y443" i="1" s="1"/>
  <c r="AG442" i="1"/>
  <c r="AA440" i="1" s="1"/>
  <c r="AA439" i="1" s="1"/>
  <c r="P177" i="1"/>
  <c r="H177" i="1" s="1"/>
  <c r="O400" i="1"/>
  <c r="D343" i="1"/>
  <c r="D342" i="1" s="1"/>
  <c r="E342" i="1"/>
  <c r="Y154" i="1"/>
  <c r="U150" i="1"/>
  <c r="V150" i="1" s="1"/>
  <c r="AH377" i="1"/>
  <c r="AH375" i="1"/>
  <c r="Y377" i="1"/>
  <c r="AH378" i="1"/>
  <c r="Y378" i="1" s="1"/>
  <c r="E131" i="1"/>
  <c r="G131" i="1" s="1"/>
  <c r="AT129" i="1"/>
  <c r="AT131" i="1" s="1"/>
  <c r="BD132" i="1"/>
  <c r="BD133" i="1"/>
  <c r="BI244" i="1"/>
  <c r="BJ248" i="1" s="1"/>
  <c r="AS147" i="1"/>
  <c r="AG221" i="1"/>
  <c r="Y221" i="1" s="1"/>
  <c r="AG220" i="1"/>
  <c r="AA218" i="1" s="1"/>
  <c r="AA217" i="1" s="1"/>
  <c r="AG375" i="1"/>
  <c r="Y375" i="1" s="1"/>
  <c r="G192" i="1"/>
  <c r="W121" i="1"/>
  <c r="W120" i="1" s="1"/>
  <c r="X120" i="1"/>
  <c r="BK150" i="1"/>
  <c r="BL150" i="1" s="1"/>
  <c r="BG144" i="1" s="1"/>
  <c r="O469" i="1"/>
  <c r="BI121" i="1"/>
  <c r="BJ120" i="1"/>
  <c r="BV398" i="1"/>
  <c r="Q244" i="1"/>
  <c r="T446" i="1"/>
  <c r="U445" i="1" s="1"/>
  <c r="V445" i="1" s="1"/>
  <c r="W437" i="1" s="1"/>
  <c r="X444" i="1" s="1"/>
  <c r="H442" i="1"/>
  <c r="H444" i="1" s="1"/>
  <c r="BB247" i="1"/>
  <c r="BA245" i="1"/>
  <c r="BB241" i="1" s="1"/>
  <c r="AH469" i="1"/>
  <c r="D398" i="1"/>
  <c r="E402" i="1" s="1"/>
  <c r="BG172" i="1"/>
  <c r="BH172" i="1" s="1"/>
  <c r="U462" i="1"/>
  <c r="V462" i="1" s="1"/>
  <c r="AH466" i="1"/>
  <c r="AG465" i="1" s="1"/>
  <c r="AA468" i="1"/>
  <c r="AI222" i="1"/>
  <c r="AH220" i="1"/>
  <c r="AI216" i="1" s="1"/>
  <c r="AH179" i="1"/>
  <c r="U239" i="1"/>
  <c r="P222" i="1"/>
  <c r="O220" i="1"/>
  <c r="P216" i="1" s="1"/>
  <c r="AI444" i="1"/>
  <c r="AH442" i="1"/>
  <c r="AI438" i="1" s="1"/>
  <c r="BK470" i="1"/>
  <c r="BT470" i="1"/>
  <c r="BT468" i="1"/>
  <c r="BT471" i="1"/>
  <c r="BK471" i="1" s="1"/>
  <c r="B462" i="1"/>
  <c r="C462" i="1" s="1"/>
  <c r="H468" i="1"/>
  <c r="O466" i="1"/>
  <c r="N465" i="1" s="1"/>
  <c r="AQ376" i="1"/>
  <c r="AS376" i="1" s="1"/>
  <c r="Y222" i="1"/>
  <c r="U218" i="1"/>
  <c r="V218" i="1" s="1"/>
  <c r="Y373" i="1"/>
  <c r="AP244" i="1"/>
  <c r="AQ248" i="1" s="1"/>
  <c r="AI376" i="1"/>
  <c r="AH374" i="1"/>
  <c r="AI370" i="1" s="1"/>
  <c r="BI466" i="1"/>
  <c r="BJ470" i="1" s="1"/>
  <c r="BM219" i="1"/>
  <c r="BS222" i="1" s="1"/>
  <c r="BK219" i="1"/>
  <c r="BI397" i="1"/>
  <c r="BG398" i="1"/>
  <c r="AZ220" i="1"/>
  <c r="AT218" i="1" s="1"/>
  <c r="AT217" i="1" s="1"/>
  <c r="AZ221" i="1"/>
  <c r="AR221" i="1" s="1"/>
  <c r="Y444" i="1"/>
  <c r="U440" i="1"/>
  <c r="V440" i="1" s="1"/>
  <c r="BS398" i="1"/>
  <c r="BF400" i="1"/>
  <c r="BI175" i="1"/>
  <c r="BG176" i="1"/>
  <c r="AP121" i="1"/>
  <c r="AQ120" i="1"/>
  <c r="BG222" i="1"/>
  <c r="BH222" i="1" s="1"/>
  <c r="AG372" i="1"/>
  <c r="AG374" i="1" s="1"/>
  <c r="AA372" i="1" s="1"/>
  <c r="AA371" i="1" s="1"/>
  <c r="E465" i="1"/>
  <c r="U172" i="1"/>
  <c r="V172" i="1" s="1"/>
  <c r="AR247" i="1"/>
  <c r="AN243" i="1"/>
  <c r="AO243" i="1" s="1"/>
  <c r="AT419" i="1"/>
  <c r="AT421" i="1" s="1"/>
  <c r="BD422" i="1"/>
  <c r="BD423" i="1"/>
  <c r="W399" i="1"/>
  <c r="X398" i="1" s="1"/>
  <c r="AG398" i="1"/>
  <c r="T400" i="1"/>
  <c r="AR466" i="1"/>
  <c r="F376" i="1"/>
  <c r="B372" i="1"/>
  <c r="C372" i="1" s="1"/>
  <c r="D374" i="1"/>
  <c r="F154" i="1"/>
  <c r="B150" i="1"/>
  <c r="C150" i="1" s="1"/>
  <c r="W442" i="1"/>
  <c r="X441" i="1" s="1"/>
  <c r="BS396" i="1"/>
  <c r="BH176" i="1"/>
  <c r="BU174" i="1"/>
  <c r="X243" i="1"/>
  <c r="AG242" i="1"/>
  <c r="C410" i="1"/>
  <c r="C409" i="1" s="1"/>
  <c r="BM197" i="1"/>
  <c r="BM199" i="1" s="1"/>
  <c r="BS246" i="1"/>
  <c r="BK246" i="1" s="1"/>
  <c r="BS245" i="1"/>
  <c r="BM243" i="1" s="1"/>
  <c r="BM242" i="1" s="1"/>
  <c r="AR397" i="1"/>
  <c r="AS397" i="1" s="1"/>
  <c r="AN391" i="1" s="1"/>
  <c r="W220" i="1"/>
  <c r="X219" i="1" s="1"/>
  <c r="D243" i="1"/>
  <c r="BF179" i="1"/>
  <c r="BF181" i="1" s="1"/>
  <c r="BG180" i="1" s="1"/>
  <c r="BH180" i="1" s="1"/>
  <c r="BF180" i="1"/>
  <c r="W374" i="1"/>
  <c r="X373" i="1" s="1"/>
  <c r="AN438" i="1"/>
  <c r="AO438" i="1" s="1"/>
  <c r="AM440" i="1"/>
  <c r="BA443" i="1" s="1"/>
  <c r="AM445" i="1"/>
  <c r="AM444" i="1"/>
  <c r="BM466" i="1"/>
  <c r="BS469" i="1" s="1"/>
  <c r="BK466" i="1"/>
  <c r="BK222" i="1"/>
  <c r="BG218" i="1"/>
  <c r="BH218" i="1" s="1"/>
  <c r="AG396" i="1"/>
  <c r="AZ465" i="1"/>
  <c r="AZ467" i="1" s="1"/>
  <c r="AT465" i="1" s="1"/>
  <c r="AT464" i="1" s="1"/>
  <c r="AT219" i="1"/>
  <c r="AZ222" i="1" s="1"/>
  <c r="AR219" i="1"/>
  <c r="V177" i="1"/>
  <c r="AZ243" i="1"/>
  <c r="AT244" i="1" s="1"/>
  <c r="AZ247" i="1" s="1"/>
  <c r="AH443" i="1"/>
  <c r="A181" i="1" l="1"/>
  <c r="B180" i="1" s="1"/>
  <c r="C180" i="1" s="1"/>
  <c r="D172" i="1" s="1"/>
  <c r="E179" i="1" s="1"/>
  <c r="F195" i="1"/>
  <c r="G195" i="1" s="1"/>
  <c r="B189" i="1" s="1"/>
  <c r="D151" i="1"/>
  <c r="E155" i="1" s="1"/>
  <c r="W152" i="1"/>
  <c r="AH153" i="1"/>
  <c r="B175" i="1"/>
  <c r="C175" i="1" s="1"/>
  <c r="T175" i="1"/>
  <c r="F179" i="1"/>
  <c r="O178" i="1"/>
  <c r="T242" i="1"/>
  <c r="T243" i="1" s="1"/>
  <c r="W245" i="1" s="1"/>
  <c r="X244" i="1" s="1"/>
  <c r="E147" i="1"/>
  <c r="F147" i="1" s="1"/>
  <c r="P152" i="1"/>
  <c r="H152" i="1" s="1"/>
  <c r="H154" i="1" s="1"/>
  <c r="AR150" i="1"/>
  <c r="AS150" i="1" s="1"/>
  <c r="AN144" i="1" s="1"/>
  <c r="AN222" i="1"/>
  <c r="AO222" i="1" s="1"/>
  <c r="AN247" i="1"/>
  <c r="AO247" i="1" s="1"/>
  <c r="AM224" i="1"/>
  <c r="AN223" i="1" s="1"/>
  <c r="AO223" i="1" s="1"/>
  <c r="AP215" i="1" s="1"/>
  <c r="U376" i="1"/>
  <c r="V376" i="1" s="1"/>
  <c r="A403" i="1"/>
  <c r="B402" i="1" s="1"/>
  <c r="C402" i="1" s="1"/>
  <c r="Y417" i="1"/>
  <c r="Z417" i="1" s="1"/>
  <c r="U411" i="1" s="1"/>
  <c r="V411" i="1" s="1"/>
  <c r="T378" i="1"/>
  <c r="U377" i="1" s="1"/>
  <c r="V377" i="1" s="1"/>
  <c r="W369" i="1" s="1"/>
  <c r="U463" i="1"/>
  <c r="V463" i="1" s="1"/>
  <c r="T470" i="1"/>
  <c r="U469" i="1" s="1"/>
  <c r="V469" i="1" s="1"/>
  <c r="F440" i="1"/>
  <c r="G440" i="1" s="1"/>
  <c r="B434" i="1" s="1"/>
  <c r="BM469" i="1"/>
  <c r="BK349" i="1"/>
  <c r="BL349" i="1" s="1"/>
  <c r="BG343" i="1" s="1"/>
  <c r="BH343" i="1" s="1"/>
  <c r="BF397" i="1"/>
  <c r="AM471" i="1"/>
  <c r="AN470" i="1" s="1"/>
  <c r="AO470" i="1" s="1"/>
  <c r="BF402" i="1"/>
  <c r="BG401" i="1" s="1"/>
  <c r="BH401" i="1" s="1"/>
  <c r="BG395" i="1"/>
  <c r="BH395" i="1" s="1"/>
  <c r="BG469" i="1"/>
  <c r="BH469" i="1" s="1"/>
  <c r="AM249" i="1"/>
  <c r="AN248" i="1" s="1"/>
  <c r="AO248" i="1" s="1"/>
  <c r="AP240" i="1" s="1"/>
  <c r="B222" i="1"/>
  <c r="C222" i="1" s="1"/>
  <c r="AM446" i="1"/>
  <c r="AN445" i="1" s="1"/>
  <c r="AO445" i="1" s="1"/>
  <c r="AT466" i="1"/>
  <c r="AZ469" i="1" s="1"/>
  <c r="BF471" i="1"/>
  <c r="BG470" i="1" s="1"/>
  <c r="BH470" i="1" s="1"/>
  <c r="BI462" i="1" s="1"/>
  <c r="Z444" i="1"/>
  <c r="B401" i="1"/>
  <c r="C401" i="1" s="1"/>
  <c r="AA373" i="1"/>
  <c r="AG376" i="1" s="1"/>
  <c r="T401" i="1"/>
  <c r="T402" i="1"/>
  <c r="T224" i="1"/>
  <c r="U223" i="1" s="1"/>
  <c r="V223" i="1" s="1"/>
  <c r="U154" i="1"/>
  <c r="V154" i="1" s="1"/>
  <c r="T180" i="1"/>
  <c r="T179" i="1"/>
  <c r="X199" i="1"/>
  <c r="Z199" i="1" s="1"/>
  <c r="X192" i="1"/>
  <c r="Y192" i="1" s="1"/>
  <c r="Z192" i="1" s="1"/>
  <c r="U222" i="1"/>
  <c r="BF249" i="1"/>
  <c r="BG248" i="1" s="1"/>
  <c r="BH248" i="1" s="1"/>
  <c r="AQ179" i="1"/>
  <c r="AS179" i="1" s="1"/>
  <c r="AQ172" i="1"/>
  <c r="AR172" i="1" s="1"/>
  <c r="AS172" i="1" s="1"/>
  <c r="BG247" i="1"/>
  <c r="BH247" i="1" s="1"/>
  <c r="T156" i="1"/>
  <c r="U155" i="1" s="1"/>
  <c r="V155" i="1" s="1"/>
  <c r="G154" i="1"/>
  <c r="G376" i="1"/>
  <c r="AP189" i="1"/>
  <c r="AP188" i="1" s="1"/>
  <c r="AQ188" i="1"/>
  <c r="AH468" i="1"/>
  <c r="Y470" i="1"/>
  <c r="AH470" i="1"/>
  <c r="AH471" i="1"/>
  <c r="Y471" i="1" s="1"/>
  <c r="N246" i="1"/>
  <c r="F246" i="1" s="1"/>
  <c r="N245" i="1"/>
  <c r="H243" i="1" s="1"/>
  <c r="H242" i="1" s="1"/>
  <c r="W411" i="1"/>
  <c r="X410" i="1"/>
  <c r="X437" i="1"/>
  <c r="Y437" i="1" s="1"/>
  <c r="Y469" i="1"/>
  <c r="U465" i="1"/>
  <c r="V465" i="1" s="1"/>
  <c r="BU178" i="1"/>
  <c r="BU177" i="1"/>
  <c r="AP343" i="1"/>
  <c r="AP342" i="1" s="1"/>
  <c r="AQ342" i="1"/>
  <c r="W373" i="1"/>
  <c r="X377" i="1" s="1"/>
  <c r="W219" i="1"/>
  <c r="X223" i="1" s="1"/>
  <c r="U241" i="1"/>
  <c r="V241" i="1" s="1"/>
  <c r="AA246" i="1"/>
  <c r="AH244" i="1"/>
  <c r="AG243" i="1" s="1"/>
  <c r="BU420" i="1"/>
  <c r="BU419" i="1"/>
  <c r="B241" i="1"/>
  <c r="C241" i="1" s="1"/>
  <c r="A243" i="1"/>
  <c r="A248" i="1"/>
  <c r="A247" i="1"/>
  <c r="BM398" i="1"/>
  <c r="BS401" i="1" s="1"/>
  <c r="BK398" i="1"/>
  <c r="P468" i="1"/>
  <c r="P467" i="1"/>
  <c r="E172" i="1"/>
  <c r="F172" i="1" s="1"/>
  <c r="W467" i="1"/>
  <c r="X466" i="1" s="1"/>
  <c r="AT177" i="1"/>
  <c r="AT179" i="1" s="1"/>
  <c r="AT220" i="1"/>
  <c r="AT222" i="1" s="1"/>
  <c r="BM176" i="1"/>
  <c r="BS179" i="1" s="1"/>
  <c r="BK176" i="1"/>
  <c r="BI215" i="1"/>
  <c r="BJ215" i="1" s="1"/>
  <c r="BK215" i="1" s="1"/>
  <c r="BM245" i="1"/>
  <c r="BM247" i="1" s="1"/>
  <c r="P247" i="1"/>
  <c r="O245" i="1"/>
  <c r="P241" i="1" s="1"/>
  <c r="C412" i="1"/>
  <c r="D409" i="1"/>
  <c r="AI443" i="1"/>
  <c r="AI442" i="1"/>
  <c r="AA442" i="1" s="1"/>
  <c r="AA444" i="1" s="1"/>
  <c r="AI400" i="1"/>
  <c r="AI399" i="1"/>
  <c r="O470" i="1"/>
  <c r="F470" i="1"/>
  <c r="O468" i="1"/>
  <c r="O471" i="1"/>
  <c r="F471" i="1" s="1"/>
  <c r="BU179" i="1"/>
  <c r="BT177" i="1"/>
  <c r="BU173" i="1" s="1"/>
  <c r="BU401" i="1"/>
  <c r="BT399" i="1"/>
  <c r="BU395" i="1" s="1"/>
  <c r="U244" i="1"/>
  <c r="W243" i="1"/>
  <c r="BH120" i="1"/>
  <c r="AI401" i="1"/>
  <c r="AH399" i="1"/>
  <c r="AI395" i="1" s="1"/>
  <c r="P130" i="1"/>
  <c r="P129" i="1"/>
  <c r="V245" i="1"/>
  <c r="AI469" i="1"/>
  <c r="AH467" i="1"/>
  <c r="AI463" i="1" s="1"/>
  <c r="Y401" i="1"/>
  <c r="U397" i="1"/>
  <c r="V397" i="1" s="1"/>
  <c r="BG376" i="1"/>
  <c r="BH376" i="1" s="1"/>
  <c r="AR469" i="1"/>
  <c r="AN465" i="1"/>
  <c r="AO465" i="1" s="1"/>
  <c r="BA468" i="1"/>
  <c r="AP467" i="1"/>
  <c r="P469" i="1"/>
  <c r="O467" i="1"/>
  <c r="P463" i="1" s="1"/>
  <c r="BK179" i="1"/>
  <c r="BG175" i="1"/>
  <c r="BH175" i="1" s="1"/>
  <c r="A224" i="1"/>
  <c r="B223" i="1" s="1"/>
  <c r="C223" i="1" s="1"/>
  <c r="N220" i="1"/>
  <c r="H218" i="1" s="1"/>
  <c r="H217" i="1" s="1"/>
  <c r="T247" i="1"/>
  <c r="Y176" i="1"/>
  <c r="AA176" i="1"/>
  <c r="AG179" i="1" s="1"/>
  <c r="F244" i="1"/>
  <c r="H244" i="1"/>
  <c r="N247" i="1" s="1"/>
  <c r="H179" i="1"/>
  <c r="AH400" i="1"/>
  <c r="AR444" i="1"/>
  <c r="AN440" i="1"/>
  <c r="AO440" i="1" s="1"/>
  <c r="AP442" i="1"/>
  <c r="AG400" i="1"/>
  <c r="Y400" i="1" s="1"/>
  <c r="AG399" i="1"/>
  <c r="AA397" i="1" s="1"/>
  <c r="AA396" i="1" s="1"/>
  <c r="H466" i="1"/>
  <c r="N469" i="1" s="1"/>
  <c r="F466" i="1"/>
  <c r="AA466" i="1"/>
  <c r="AG469" i="1" s="1"/>
  <c r="Y466" i="1"/>
  <c r="AI375" i="1"/>
  <c r="AI374" i="1"/>
  <c r="AA374" i="1" s="1"/>
  <c r="AA376" i="1" s="1"/>
  <c r="AI221" i="1"/>
  <c r="AI220" i="1"/>
  <c r="AA220" i="1" s="1"/>
  <c r="AA222" i="1" s="1"/>
  <c r="C189" i="1"/>
  <c r="AO144" i="1"/>
  <c r="C342" i="1"/>
  <c r="C341" i="1" s="1"/>
  <c r="AG178" i="1"/>
  <c r="Y178" i="1" s="1"/>
  <c r="AG177" i="1"/>
  <c r="AA175" i="1" s="1"/>
  <c r="AA174" i="1" s="1"/>
  <c r="AP411" i="1"/>
  <c r="AQ410" i="1"/>
  <c r="BK401" i="1"/>
  <c r="BG397" i="1"/>
  <c r="BH397" i="1" s="1"/>
  <c r="BH189" i="1"/>
  <c r="BB153" i="1"/>
  <c r="BB152" i="1"/>
  <c r="AT152" i="1" s="1"/>
  <c r="AT154" i="1" s="1"/>
  <c r="V244" i="1"/>
  <c r="AI242" i="1"/>
  <c r="BI176" i="1"/>
  <c r="BJ180" i="1" s="1"/>
  <c r="AG244" i="1"/>
  <c r="T246" i="1"/>
  <c r="G369" i="1"/>
  <c r="BK376" i="1"/>
  <c r="BG372" i="1"/>
  <c r="BH372" i="1" s="1"/>
  <c r="BI374" i="1"/>
  <c r="BT375" i="1"/>
  <c r="D466" i="1"/>
  <c r="E470" i="1" s="1"/>
  <c r="F222" i="1"/>
  <c r="B218" i="1"/>
  <c r="C218" i="1" s="1"/>
  <c r="O221" i="1"/>
  <c r="D220" i="1"/>
  <c r="Y179" i="1"/>
  <c r="U175" i="1"/>
  <c r="V175" i="1" s="1"/>
  <c r="BK440" i="1"/>
  <c r="BL440" i="1" s="1"/>
  <c r="BG434" i="1" s="1"/>
  <c r="AZ245" i="1"/>
  <c r="AT243" i="1" s="1"/>
  <c r="AT242" i="1" s="1"/>
  <c r="F469" i="1"/>
  <c r="B465" i="1"/>
  <c r="C465" i="1" s="1"/>
  <c r="AH248" i="1"/>
  <c r="Y248" i="1"/>
  <c r="E373" i="1"/>
  <c r="D373" i="1"/>
  <c r="E377" i="1" s="1"/>
  <c r="G147" i="1"/>
  <c r="AN444" i="1"/>
  <c r="AO444" i="1" s="1"/>
  <c r="BG179" i="1"/>
  <c r="BH179" i="1" s="1"/>
  <c r="AO391" i="1"/>
  <c r="W398" i="1"/>
  <c r="X402" i="1" s="1"/>
  <c r="AO120" i="1"/>
  <c r="AP120" i="1"/>
  <c r="BS400" i="1"/>
  <c r="BK400" i="1" s="1"/>
  <c r="BS399" i="1"/>
  <c r="BM397" i="1" s="1"/>
  <c r="BM396" i="1" s="1"/>
  <c r="BH144" i="1"/>
  <c r="V120" i="1"/>
  <c r="F127" i="1"/>
  <c r="G127" i="1" s="1"/>
  <c r="B121" i="1" s="1"/>
  <c r="W410" i="1"/>
  <c r="BT180" i="1"/>
  <c r="BK180" i="1"/>
  <c r="BT178" i="1"/>
  <c r="BT181" i="1"/>
  <c r="BK181" i="1" s="1"/>
  <c r="C434" i="1"/>
  <c r="AH249" i="1"/>
  <c r="Y249" i="1" s="1"/>
  <c r="AH247" i="1"/>
  <c r="BS178" i="1"/>
  <c r="BK178" i="1" s="1"/>
  <c r="BS177" i="1"/>
  <c r="BM175" i="1" s="1"/>
  <c r="BM174" i="1" s="1"/>
  <c r="BB375" i="1"/>
  <c r="BB374" i="1"/>
  <c r="AT374" i="1" s="1"/>
  <c r="AT376" i="1" s="1"/>
  <c r="U240" i="1"/>
  <c r="V240" i="1" s="1"/>
  <c r="W441" i="1"/>
  <c r="X445" i="1" s="1"/>
  <c r="AA398" i="1"/>
  <c r="AG401" i="1" s="1"/>
  <c r="Y398" i="1"/>
  <c r="BM220" i="1"/>
  <c r="BM222" i="1" s="1"/>
  <c r="AN469" i="1"/>
  <c r="AO469" i="1" s="1"/>
  <c r="P198" i="1"/>
  <c r="P197" i="1"/>
  <c r="N468" i="1"/>
  <c r="F468" i="1" s="1"/>
  <c r="N467" i="1"/>
  <c r="H465" i="1" s="1"/>
  <c r="H464" i="1" s="1"/>
  <c r="AG468" i="1"/>
  <c r="Y468" i="1" s="1"/>
  <c r="AG467" i="1"/>
  <c r="AA465" i="1" s="1"/>
  <c r="AA464" i="1" s="1"/>
  <c r="V342" i="1"/>
  <c r="W342" i="1"/>
  <c r="A471" i="1"/>
  <c r="B470" i="1" s="1"/>
  <c r="C470" i="1" s="1"/>
  <c r="D462" i="1" s="1"/>
  <c r="E469" i="1" s="1"/>
  <c r="T248" i="1"/>
  <c r="BK417" i="1"/>
  <c r="BL417" i="1" s="1"/>
  <c r="BG411" i="1" s="1"/>
  <c r="AR372" i="1"/>
  <c r="AS372" i="1" s="1"/>
  <c r="AN366" i="1" s="1"/>
  <c r="BI120" i="1"/>
  <c r="T471" i="1"/>
  <c r="U470" i="1" s="1"/>
  <c r="V470" i="1" s="1"/>
  <c r="W462" i="1" s="1"/>
  <c r="X462" i="1" s="1"/>
  <c r="Y462" i="1" s="1"/>
  <c r="W147" i="1" l="1"/>
  <c r="X147" i="1" s="1"/>
  <c r="Y147" i="1" s="1"/>
  <c r="Z147" i="1" s="1"/>
  <c r="G179" i="1"/>
  <c r="X151" i="1"/>
  <c r="W151" i="1"/>
  <c r="X155" i="1" s="1"/>
  <c r="AH246" i="1"/>
  <c r="D215" i="1"/>
  <c r="E215" i="1" s="1"/>
  <c r="F215" i="1" s="1"/>
  <c r="G215" i="1" s="1"/>
  <c r="AH178" i="1"/>
  <c r="W177" i="1"/>
  <c r="F150" i="1"/>
  <c r="G150" i="1" s="1"/>
  <c r="B144" i="1" s="1"/>
  <c r="C144" i="1" s="1"/>
  <c r="U247" i="1"/>
  <c r="V247" i="1" s="1"/>
  <c r="BJ222" i="1"/>
  <c r="BL222" i="1" s="1"/>
  <c r="AQ222" i="1"/>
  <c r="AS222" i="1" s="1"/>
  <c r="AQ215" i="1"/>
  <c r="AR215" i="1" s="1"/>
  <c r="AS215" i="1" s="1"/>
  <c r="BI240" i="1"/>
  <c r="BJ240" i="1" s="1"/>
  <c r="BK240" i="1" s="1"/>
  <c r="BL240" i="1" s="1"/>
  <c r="X376" i="1"/>
  <c r="Z376" i="1" s="1"/>
  <c r="X369" i="1"/>
  <c r="Y369" i="1" s="1"/>
  <c r="Z369" i="1" s="1"/>
  <c r="W466" i="1"/>
  <c r="X470" i="1" s="1"/>
  <c r="G469" i="1"/>
  <c r="BF403" i="1"/>
  <c r="BG402" i="1" s="1"/>
  <c r="BH402" i="1" s="1"/>
  <c r="BI394" i="1" s="1"/>
  <c r="BJ401" i="1" s="1"/>
  <c r="BL401" i="1" s="1"/>
  <c r="BI343" i="1"/>
  <c r="BJ342" i="1"/>
  <c r="BT400" i="1"/>
  <c r="BI399" i="1"/>
  <c r="AQ247" i="1"/>
  <c r="AS247" i="1" s="1"/>
  <c r="AQ240" i="1"/>
  <c r="AR240" i="1" s="1"/>
  <c r="AS240" i="1" s="1"/>
  <c r="A249" i="1"/>
  <c r="B248" i="1" s="1"/>
  <c r="C248" i="1" s="1"/>
  <c r="T181" i="1"/>
  <c r="U180" i="1" s="1"/>
  <c r="V180" i="1" s="1"/>
  <c r="AR175" i="1"/>
  <c r="AS175" i="1" s="1"/>
  <c r="AN169" i="1" s="1"/>
  <c r="AO169" i="1" s="1"/>
  <c r="AP169" i="1" s="1"/>
  <c r="BJ462" i="1"/>
  <c r="BK462" i="1" s="1"/>
  <c r="BL462" i="1" s="1"/>
  <c r="BJ469" i="1"/>
  <c r="BL469" i="1" s="1"/>
  <c r="BI369" i="1"/>
  <c r="BJ369" i="1" s="1"/>
  <c r="BK369" i="1" s="1"/>
  <c r="BL369" i="1" s="1"/>
  <c r="T403" i="1"/>
  <c r="U402" i="1" s="1"/>
  <c r="V402" i="1" s="1"/>
  <c r="D394" i="1"/>
  <c r="E394" i="1" s="1"/>
  <c r="F394" i="1" s="1"/>
  <c r="G394" i="1" s="1"/>
  <c r="E462" i="1"/>
  <c r="F462" i="1" s="1"/>
  <c r="G462" i="1" s="1"/>
  <c r="F465" i="1" s="1"/>
  <c r="G465" i="1" s="1"/>
  <c r="B459" i="1" s="1"/>
  <c r="X469" i="1"/>
  <c r="Z469" i="1" s="1"/>
  <c r="U401" i="1"/>
  <c r="V222" i="1"/>
  <c r="W215" i="1"/>
  <c r="X215" i="1" s="1"/>
  <c r="Y215" i="1" s="1"/>
  <c r="Z215" i="1" s="1"/>
  <c r="U179" i="1"/>
  <c r="Y195" i="1"/>
  <c r="Z195" i="1" s="1"/>
  <c r="U189" i="1" s="1"/>
  <c r="V189" i="1" s="1"/>
  <c r="X188" i="1" s="1"/>
  <c r="BH119" i="1"/>
  <c r="BI119" i="1" s="1"/>
  <c r="BJ247" i="1"/>
  <c r="BL247" i="1" s="1"/>
  <c r="BM177" i="1"/>
  <c r="X154" i="1"/>
  <c r="Z154" i="1" s="1"/>
  <c r="W244" i="1"/>
  <c r="X248" i="1" s="1"/>
  <c r="V344" i="1"/>
  <c r="AP391" i="1"/>
  <c r="AP390" i="1" s="1"/>
  <c r="AQ390" i="1"/>
  <c r="E219" i="1"/>
  <c r="D219" i="1"/>
  <c r="E223" i="1" s="1"/>
  <c r="BJ373" i="1"/>
  <c r="BI373" i="1"/>
  <c r="BJ377" i="1" s="1"/>
  <c r="G172" i="1"/>
  <c r="F175" i="1" s="1"/>
  <c r="G175" i="1" s="1"/>
  <c r="B169" i="1" s="1"/>
  <c r="AP462" i="1"/>
  <c r="AQ462" i="1" s="1"/>
  <c r="AR462" i="1" s="1"/>
  <c r="Z437" i="1"/>
  <c r="Y440" i="1" s="1"/>
  <c r="Z440" i="1" s="1"/>
  <c r="U434" i="1" s="1"/>
  <c r="AO366" i="1"/>
  <c r="V341" i="1"/>
  <c r="W341" i="1" s="1"/>
  <c r="P375" i="1"/>
  <c r="P374" i="1"/>
  <c r="H374" i="1" s="1"/>
  <c r="H376" i="1" s="1"/>
  <c r="BI189" i="1"/>
  <c r="BJ188" i="1"/>
  <c r="W189" i="1"/>
  <c r="AA399" i="1"/>
  <c r="AA401" i="1" s="1"/>
  <c r="E222" i="1"/>
  <c r="G222" i="1" s="1"/>
  <c r="AA244" i="1"/>
  <c r="AG247" i="1" s="1"/>
  <c r="Y244" i="1"/>
  <c r="BH411" i="1"/>
  <c r="H197" i="1"/>
  <c r="H199" i="1" s="1"/>
  <c r="R200" i="1"/>
  <c r="R201" i="1"/>
  <c r="C121" i="1"/>
  <c r="V122" i="1"/>
  <c r="AO122" i="1"/>
  <c r="AT245" i="1"/>
  <c r="AT247" i="1" s="1"/>
  <c r="AG246" i="1"/>
  <c r="Y246" i="1" s="1"/>
  <c r="AG245" i="1"/>
  <c r="AA243" i="1" s="1"/>
  <c r="AA242" i="1" s="1"/>
  <c r="D189" i="1"/>
  <c r="E188" i="1"/>
  <c r="AQ441" i="1"/>
  <c r="AP441" i="1"/>
  <c r="AQ445" i="1" s="1"/>
  <c r="T249" i="1"/>
  <c r="U248" i="1" s="1"/>
  <c r="V248" i="1" s="1"/>
  <c r="AI247" i="1"/>
  <c r="AH245" i="1"/>
  <c r="AI241" i="1" s="1"/>
  <c r="E412" i="1"/>
  <c r="C420" i="1"/>
  <c r="O416" i="1"/>
  <c r="BL215" i="1"/>
  <c r="BK218" i="1" s="1"/>
  <c r="BL218" i="1" s="1"/>
  <c r="BG212" i="1" s="1"/>
  <c r="AI468" i="1"/>
  <c r="AI467" i="1"/>
  <c r="AA467" i="1" s="1"/>
  <c r="AA469" i="1" s="1"/>
  <c r="H467" i="1"/>
  <c r="H469" i="1" s="1"/>
  <c r="F247" i="1"/>
  <c r="B243" i="1"/>
  <c r="C243" i="1" s="1"/>
  <c r="D245" i="1"/>
  <c r="O246" i="1"/>
  <c r="BK243" i="1"/>
  <c r="BL243" i="1" s="1"/>
  <c r="BG237" i="1" s="1"/>
  <c r="V410" i="1"/>
  <c r="V409" i="1" s="1"/>
  <c r="D341" i="1"/>
  <c r="C344" i="1"/>
  <c r="AP144" i="1"/>
  <c r="AQ143" i="1"/>
  <c r="AO188" i="1"/>
  <c r="AO187" i="1" s="1"/>
  <c r="BI144" i="1"/>
  <c r="BJ143" i="1"/>
  <c r="BI172" i="1"/>
  <c r="BJ172" i="1" s="1"/>
  <c r="BK172" i="1" s="1"/>
  <c r="AO410" i="1"/>
  <c r="H129" i="1"/>
  <c r="H131" i="1" s="1"/>
  <c r="R132" i="1"/>
  <c r="R133" i="1"/>
  <c r="Z462" i="1"/>
  <c r="Y465" i="1" s="1"/>
  <c r="Z465" i="1" s="1"/>
  <c r="U459" i="1" s="1"/>
  <c r="D413" i="1"/>
  <c r="D412" i="1"/>
  <c r="B247" i="1"/>
  <c r="C247" i="1" s="1"/>
  <c r="D434" i="1"/>
  <c r="E433" i="1"/>
  <c r="BM179" i="1"/>
  <c r="V119" i="1"/>
  <c r="W119" i="1" s="1"/>
  <c r="AO119" i="1"/>
  <c r="AP119" i="1" s="1"/>
  <c r="BH434" i="1"/>
  <c r="F372" i="1"/>
  <c r="G372" i="1" s="1"/>
  <c r="B366" i="1" s="1"/>
  <c r="AI246" i="1"/>
  <c r="AI245" i="1"/>
  <c r="AP437" i="1"/>
  <c r="AQ437" i="1" s="1"/>
  <c r="AR437" i="1" s="1"/>
  <c r="AQ466" i="1"/>
  <c r="AP466" i="1"/>
  <c r="AQ470" i="1" s="1"/>
  <c r="BH122" i="1"/>
  <c r="BM419" i="1"/>
  <c r="BM421" i="1" s="1"/>
  <c r="BW422" i="1"/>
  <c r="BW423" i="1"/>
  <c r="Y247" i="1"/>
  <c r="U243" i="1"/>
  <c r="V243" i="1" s="1"/>
  <c r="AO342" i="1"/>
  <c r="AP410" i="1"/>
  <c r="W240" i="1" l="1"/>
  <c r="X247" i="1" s="1"/>
  <c r="AI153" i="1"/>
  <c r="AI152" i="1"/>
  <c r="AA152" i="1" s="1"/>
  <c r="AA154" i="1" s="1"/>
  <c r="AA245" i="1"/>
  <c r="AA247" i="1" s="1"/>
  <c r="X176" i="1"/>
  <c r="W176" i="1"/>
  <c r="X180" i="1" s="1"/>
  <c r="AR218" i="1"/>
  <c r="AS218" i="1" s="1"/>
  <c r="AN212" i="1" s="1"/>
  <c r="AO212" i="1" s="1"/>
  <c r="AQ211" i="1" s="1"/>
  <c r="AQ168" i="1"/>
  <c r="Y372" i="1"/>
  <c r="Z372" i="1" s="1"/>
  <c r="U366" i="1" s="1"/>
  <c r="V366" i="1" s="1"/>
  <c r="X365" i="1" s="1"/>
  <c r="BJ394" i="1"/>
  <c r="BK394" i="1" s="1"/>
  <c r="BL394" i="1" s="1"/>
  <c r="BK397" i="1" s="1"/>
  <c r="BL397" i="1" s="1"/>
  <c r="BG391" i="1" s="1"/>
  <c r="BH342" i="1"/>
  <c r="BI342" i="1"/>
  <c r="BJ376" i="1"/>
  <c r="BL376" i="1" s="1"/>
  <c r="BJ398" i="1"/>
  <c r="BI398" i="1"/>
  <c r="BJ402" i="1" s="1"/>
  <c r="AR243" i="1"/>
  <c r="AS243" i="1" s="1"/>
  <c r="AN237" i="1" s="1"/>
  <c r="AO237" i="1" s="1"/>
  <c r="AQ236" i="1" s="1"/>
  <c r="BK465" i="1"/>
  <c r="BL465" i="1" s="1"/>
  <c r="BG459" i="1" s="1"/>
  <c r="BH459" i="1" s="1"/>
  <c r="BJ458" i="1" s="1"/>
  <c r="AQ469" i="1"/>
  <c r="AS469" i="1" s="1"/>
  <c r="E401" i="1"/>
  <c r="G401" i="1" s="1"/>
  <c r="F397" i="1" s="1"/>
  <c r="G397" i="1" s="1"/>
  <c r="B391" i="1" s="1"/>
  <c r="C391" i="1" s="1"/>
  <c r="V401" i="1"/>
  <c r="W394" i="1"/>
  <c r="V179" i="1"/>
  <c r="W172" i="1"/>
  <c r="X222" i="1"/>
  <c r="Z222" i="1" s="1"/>
  <c r="Y218" i="1" s="1"/>
  <c r="Z218" i="1" s="1"/>
  <c r="U212" i="1" s="1"/>
  <c r="V212" i="1" s="1"/>
  <c r="BJ179" i="1"/>
  <c r="BL179" i="1" s="1"/>
  <c r="Y150" i="1"/>
  <c r="Z150" i="1" s="1"/>
  <c r="U144" i="1" s="1"/>
  <c r="V144" i="1" s="1"/>
  <c r="W144" i="1" s="1"/>
  <c r="Z247" i="1"/>
  <c r="AP123" i="1"/>
  <c r="AP122" i="1"/>
  <c r="W123" i="1"/>
  <c r="W122" i="1"/>
  <c r="W344" i="1"/>
  <c r="W345" i="1"/>
  <c r="AS437" i="1"/>
  <c r="V459" i="1"/>
  <c r="AO412" i="1"/>
  <c r="W366" i="1"/>
  <c r="BI411" i="1"/>
  <c r="BJ410" i="1"/>
  <c r="BK372" i="1"/>
  <c r="BL372" i="1" s="1"/>
  <c r="BG366" i="1" s="1"/>
  <c r="BH391" i="1"/>
  <c r="E344" i="1"/>
  <c r="C352" i="1"/>
  <c r="O348" i="1"/>
  <c r="C188" i="1"/>
  <c r="D188" i="1"/>
  <c r="AQ122" i="1"/>
  <c r="AO130" i="1"/>
  <c r="BA126" i="1"/>
  <c r="AO344" i="1"/>
  <c r="BI123" i="1"/>
  <c r="BI122" i="1"/>
  <c r="BB468" i="1"/>
  <c r="BB467" i="1"/>
  <c r="AT467" i="1" s="1"/>
  <c r="AT469" i="1" s="1"/>
  <c r="BI434" i="1"/>
  <c r="BJ433" i="1"/>
  <c r="BL172" i="1"/>
  <c r="BK175" i="1" s="1"/>
  <c r="BL175" i="1" s="1"/>
  <c r="BG169" i="1" s="1"/>
  <c r="BH143" i="1"/>
  <c r="BI143" i="1"/>
  <c r="D345" i="1"/>
  <c r="D344" i="1"/>
  <c r="D121" i="1"/>
  <c r="E120" i="1"/>
  <c r="V434" i="1"/>
  <c r="X344" i="1"/>
  <c r="AH348" i="1"/>
  <c r="V352" i="1"/>
  <c r="C366" i="1"/>
  <c r="AO143" i="1"/>
  <c r="AQ444" i="1"/>
  <c r="AS444" i="1" s="1"/>
  <c r="X122" i="1"/>
  <c r="V130" i="1"/>
  <c r="AH126" i="1"/>
  <c r="C459" i="1"/>
  <c r="AP143" i="1"/>
  <c r="AP237" i="1"/>
  <c r="AO409" i="1"/>
  <c r="AP409" i="1" s="1"/>
  <c r="D240" i="1"/>
  <c r="E240" i="1" s="1"/>
  <c r="F240" i="1" s="1"/>
  <c r="BH237" i="1"/>
  <c r="BH212" i="1"/>
  <c r="V188" i="1"/>
  <c r="W188" i="1"/>
  <c r="AS462" i="1"/>
  <c r="AR465" i="1" s="1"/>
  <c r="AS465" i="1" s="1"/>
  <c r="AN459" i="1" s="1"/>
  <c r="P221" i="1"/>
  <c r="P220" i="1"/>
  <c r="H220" i="1" s="1"/>
  <c r="H222" i="1" s="1"/>
  <c r="AO341" i="1"/>
  <c r="AP341" i="1" s="1"/>
  <c r="BJ122" i="1"/>
  <c r="BH130" i="1"/>
  <c r="BT126" i="1"/>
  <c r="C433" i="1"/>
  <c r="D433" i="1"/>
  <c r="AP212" i="1"/>
  <c r="F218" i="1"/>
  <c r="G218" i="1" s="1"/>
  <c r="B212" i="1" s="1"/>
  <c r="AP187" i="1"/>
  <c r="AO190" i="1"/>
  <c r="V412" i="1"/>
  <c r="W409" i="1"/>
  <c r="E244" i="1"/>
  <c r="D244" i="1"/>
  <c r="E248" i="1" s="1"/>
  <c r="F416" i="1"/>
  <c r="BB443" i="1"/>
  <c r="BB442" i="1"/>
  <c r="AT442" i="1" s="1"/>
  <c r="AT444" i="1" s="1"/>
  <c r="D144" i="1"/>
  <c r="E143" i="1"/>
  <c r="X240" i="1"/>
  <c r="Y240" i="1" s="1"/>
  <c r="BI410" i="1"/>
  <c r="AO168" i="1"/>
  <c r="AP168" i="1"/>
  <c r="BH188" i="1"/>
  <c r="BI188" i="1"/>
  <c r="AP366" i="1"/>
  <c r="AQ365" i="1"/>
  <c r="C169" i="1"/>
  <c r="BU375" i="1"/>
  <c r="BU374" i="1"/>
  <c r="BM374" i="1" s="1"/>
  <c r="BM376" i="1" s="1"/>
  <c r="AO390" i="1"/>
  <c r="AI177" i="1" l="1"/>
  <c r="AA177" i="1" s="1"/>
  <c r="AA179" i="1" s="1"/>
  <c r="AI178" i="1"/>
  <c r="BH142" i="1"/>
  <c r="BI142" i="1" s="1"/>
  <c r="BI459" i="1"/>
  <c r="BI458" i="1" s="1"/>
  <c r="BH344" i="1"/>
  <c r="BH341" i="1"/>
  <c r="BI341" i="1" s="1"/>
  <c r="BU400" i="1"/>
  <c r="BU399" i="1"/>
  <c r="BM399" i="1" s="1"/>
  <c r="BM401" i="1" s="1"/>
  <c r="AO167" i="1"/>
  <c r="D391" i="1"/>
  <c r="E390" i="1"/>
  <c r="X401" i="1"/>
  <c r="Z401" i="1" s="1"/>
  <c r="X394" i="1"/>
  <c r="Y394" i="1" s="1"/>
  <c r="Z394" i="1" s="1"/>
  <c r="X179" i="1"/>
  <c r="Z179" i="1" s="1"/>
  <c r="X172" i="1"/>
  <c r="Y172" i="1" s="1"/>
  <c r="Z172" i="1" s="1"/>
  <c r="X143" i="1"/>
  <c r="V187" i="1"/>
  <c r="E247" i="1"/>
  <c r="G247" i="1" s="1"/>
  <c r="AP413" i="1"/>
  <c r="AP412" i="1"/>
  <c r="AP345" i="1"/>
  <c r="AP344" i="1"/>
  <c r="AO392" i="1"/>
  <c r="C143" i="1"/>
  <c r="D143" i="1"/>
  <c r="X412" i="1"/>
  <c r="V420" i="1"/>
  <c r="AH416" i="1"/>
  <c r="C212" i="1"/>
  <c r="C435" i="1"/>
  <c r="BK126" i="1"/>
  <c r="BI237" i="1"/>
  <c r="BI236" i="1" s="1"/>
  <c r="BJ236" i="1"/>
  <c r="C390" i="1"/>
  <c r="D390" i="1"/>
  <c r="Y348" i="1"/>
  <c r="X348" i="1" s="1"/>
  <c r="BH433" i="1"/>
  <c r="BI433" i="1"/>
  <c r="AR126" i="1"/>
  <c r="C190" i="1"/>
  <c r="F348" i="1"/>
  <c r="BI391" i="1"/>
  <c r="BI390" i="1" s="1"/>
  <c r="BJ390" i="1"/>
  <c r="AO389" i="1"/>
  <c r="AP389" i="1" s="1"/>
  <c r="D169" i="1"/>
  <c r="E168" i="1"/>
  <c r="BH190" i="1"/>
  <c r="AQ190" i="1"/>
  <c r="AO198" i="1"/>
  <c r="BA194" i="1"/>
  <c r="C432" i="1"/>
  <c r="D432" i="1" s="1"/>
  <c r="BH458" i="1"/>
  <c r="G240" i="1"/>
  <c r="D459" i="1"/>
  <c r="E458" i="1"/>
  <c r="C120" i="1"/>
  <c r="D120" i="1"/>
  <c r="BH169" i="1"/>
  <c r="AQ344" i="1"/>
  <c r="AO352" i="1"/>
  <c r="BA348" i="1"/>
  <c r="C187" i="1"/>
  <c r="D187" i="1" s="1"/>
  <c r="BH366" i="1"/>
  <c r="V365" i="1"/>
  <c r="W459" i="1"/>
  <c r="X458" i="1"/>
  <c r="BH187" i="1"/>
  <c r="BI187" i="1" s="1"/>
  <c r="Z240" i="1"/>
  <c r="Y243" i="1" s="1"/>
  <c r="Z243" i="1" s="1"/>
  <c r="U237" i="1" s="1"/>
  <c r="P246" i="1"/>
  <c r="P245" i="1"/>
  <c r="H245" i="1" s="1"/>
  <c r="H247" i="1" s="1"/>
  <c r="AP190" i="1"/>
  <c r="AP191" i="1"/>
  <c r="AO211" i="1"/>
  <c r="AP211" i="1"/>
  <c r="AO459" i="1"/>
  <c r="BI212" i="1"/>
  <c r="BJ211" i="1"/>
  <c r="AO236" i="1"/>
  <c r="AP236" i="1"/>
  <c r="Y126" i="1"/>
  <c r="X126" i="1" s="1"/>
  <c r="AO145" i="1"/>
  <c r="D366" i="1"/>
  <c r="E365" i="1"/>
  <c r="AR440" i="1"/>
  <c r="AS440" i="1" s="1"/>
  <c r="AN434" i="1" s="1"/>
  <c r="AP167" i="1"/>
  <c r="AO170" i="1"/>
  <c r="AO365" i="1"/>
  <c r="AP365" i="1"/>
  <c r="E416" i="1"/>
  <c r="C416" i="1" s="1"/>
  <c r="C423" i="1" s="1"/>
  <c r="W412" i="1"/>
  <c r="W413" i="1"/>
  <c r="W365" i="1"/>
  <c r="V190" i="1"/>
  <c r="W187" i="1"/>
  <c r="AO142" i="1"/>
  <c r="AP142" i="1" s="1"/>
  <c r="W434" i="1"/>
  <c r="X433" i="1"/>
  <c r="W212" i="1"/>
  <c r="W211" i="1" s="1"/>
  <c r="X211" i="1"/>
  <c r="BH145" i="1"/>
  <c r="V143" i="1"/>
  <c r="W143" i="1"/>
  <c r="BH410" i="1"/>
  <c r="BH409" i="1" s="1"/>
  <c r="AQ412" i="1"/>
  <c r="AO420" i="1"/>
  <c r="BA416" i="1"/>
  <c r="F243" i="1" l="1"/>
  <c r="G243" i="1" s="1"/>
  <c r="B237" i="1" s="1"/>
  <c r="C389" i="1"/>
  <c r="Y397" i="1"/>
  <c r="Z397" i="1" s="1"/>
  <c r="U391" i="1" s="1"/>
  <c r="V391" i="1" s="1"/>
  <c r="W391" i="1" s="1"/>
  <c r="BI344" i="1"/>
  <c r="BI345" i="1"/>
  <c r="BT348" i="1"/>
  <c r="BK348" i="1" s="1"/>
  <c r="BJ344" i="1"/>
  <c r="BH352" i="1"/>
  <c r="C119" i="1"/>
  <c r="AO210" i="1"/>
  <c r="AO364" i="1"/>
  <c r="AP364" i="1" s="1"/>
  <c r="V364" i="1"/>
  <c r="Y175" i="1"/>
  <c r="Z175" i="1" s="1"/>
  <c r="U169" i="1" s="1"/>
  <c r="V169" i="1" s="1"/>
  <c r="W169" i="1" s="1"/>
  <c r="AO235" i="1"/>
  <c r="AP235" i="1" s="1"/>
  <c r="V142" i="1"/>
  <c r="W142" i="1" s="1"/>
  <c r="D436" i="1"/>
  <c r="D435" i="1"/>
  <c r="D191" i="1"/>
  <c r="D190" i="1"/>
  <c r="AP393" i="1"/>
  <c r="AP392" i="1"/>
  <c r="AO434" i="1"/>
  <c r="AP459" i="1"/>
  <c r="AQ458" i="1"/>
  <c r="AR348" i="1"/>
  <c r="AQ348" i="1" s="1"/>
  <c r="BI169" i="1"/>
  <c r="BJ168" i="1"/>
  <c r="AR194" i="1"/>
  <c r="AQ194" i="1" s="1"/>
  <c r="BJ190" i="1"/>
  <c r="BH198" i="1"/>
  <c r="BT194" i="1"/>
  <c r="E190" i="1"/>
  <c r="C198" i="1"/>
  <c r="O194" i="1"/>
  <c r="V348" i="1"/>
  <c r="V355" i="1" s="1"/>
  <c r="Y351" i="1" s="1"/>
  <c r="AJ343" i="1" s="1"/>
  <c r="AJ344" i="1" s="1"/>
  <c r="E435" i="1"/>
  <c r="C443" i="1"/>
  <c r="O439" i="1"/>
  <c r="Y416" i="1"/>
  <c r="X416" i="1" s="1"/>
  <c r="AQ392" i="1"/>
  <c r="BA396" i="1"/>
  <c r="AO400" i="1"/>
  <c r="V433" i="1"/>
  <c r="AO367" i="1"/>
  <c r="AO238" i="1"/>
  <c r="BI191" i="1"/>
  <c r="BI190" i="1"/>
  <c r="X390" i="1"/>
  <c r="V211" i="1"/>
  <c r="V210" i="1" s="1"/>
  <c r="F419" i="1"/>
  <c r="Q411" i="1" s="1"/>
  <c r="Q412" i="1" s="1"/>
  <c r="AQ170" i="1"/>
  <c r="AO178" i="1"/>
  <c r="BA174" i="1"/>
  <c r="C365" i="1"/>
  <c r="D365" i="1"/>
  <c r="V126" i="1"/>
  <c r="V133" i="1" s="1"/>
  <c r="Y129" i="1" s="1"/>
  <c r="AJ121" i="1" s="1"/>
  <c r="AJ122" i="1" s="1"/>
  <c r="V237" i="1"/>
  <c r="C458" i="1"/>
  <c r="D458" i="1"/>
  <c r="BH460" i="1"/>
  <c r="BH390" i="1"/>
  <c r="BH389" i="1" s="1"/>
  <c r="BH435" i="1"/>
  <c r="BH236" i="1"/>
  <c r="BH235" i="1" s="1"/>
  <c r="C145" i="1"/>
  <c r="W433" i="1"/>
  <c r="AR416" i="1"/>
  <c r="BJ145" i="1"/>
  <c r="BH153" i="1"/>
  <c r="BT149" i="1"/>
  <c r="X190" i="1"/>
  <c r="V198" i="1"/>
  <c r="AH194" i="1"/>
  <c r="AP145" i="1"/>
  <c r="AP146" i="1"/>
  <c r="V367" i="1"/>
  <c r="W364" i="1"/>
  <c r="D212" i="1"/>
  <c r="D211" i="1" s="1"/>
  <c r="E211" i="1"/>
  <c r="BH412" i="1"/>
  <c r="BI409" i="1"/>
  <c r="V145" i="1"/>
  <c r="BI146" i="1"/>
  <c r="BI145" i="1"/>
  <c r="W191" i="1"/>
  <c r="W190" i="1"/>
  <c r="AP170" i="1"/>
  <c r="AP171" i="1"/>
  <c r="AQ145" i="1"/>
  <c r="AO153" i="1"/>
  <c r="BA149" i="1"/>
  <c r="BH211" i="1"/>
  <c r="BI211" i="1"/>
  <c r="AP210" i="1"/>
  <c r="AO213" i="1"/>
  <c r="V458" i="1"/>
  <c r="W458" i="1"/>
  <c r="BI366" i="1"/>
  <c r="BJ365" i="1"/>
  <c r="D119" i="1"/>
  <c r="C122" i="1"/>
  <c r="C237" i="1"/>
  <c r="BH457" i="1"/>
  <c r="BI457" i="1" s="1"/>
  <c r="C168" i="1"/>
  <c r="D168" i="1"/>
  <c r="E348" i="1"/>
  <c r="AQ126" i="1"/>
  <c r="BH432" i="1"/>
  <c r="BI432" i="1" s="1"/>
  <c r="C392" i="1"/>
  <c r="D389" i="1"/>
  <c r="BJ126" i="1"/>
  <c r="C142" i="1"/>
  <c r="D142" i="1" s="1"/>
  <c r="X168" i="1" l="1"/>
  <c r="BJ348" i="1"/>
  <c r="BH348" i="1" s="1"/>
  <c r="BH355" i="1" s="1"/>
  <c r="BH210" i="1"/>
  <c r="C364" i="1"/>
  <c r="V432" i="1"/>
  <c r="C167" i="1"/>
  <c r="D167" i="1" s="1"/>
  <c r="BI460" i="1"/>
  <c r="BI461" i="1"/>
  <c r="AJ126" i="1"/>
  <c r="AJ129" i="1" s="1"/>
  <c r="AJ130" i="1" s="1"/>
  <c r="AJ131" i="1" s="1"/>
  <c r="AJ119" i="1"/>
  <c r="D146" i="1"/>
  <c r="D145" i="1"/>
  <c r="BI436" i="1"/>
  <c r="BI435" i="1"/>
  <c r="Q416" i="1"/>
  <c r="Q419" i="1" s="1"/>
  <c r="Q420" i="1" s="1"/>
  <c r="Q421" i="1" s="1"/>
  <c r="Q409" i="1"/>
  <c r="AQ238" i="1"/>
  <c r="AO246" i="1"/>
  <c r="BA242" i="1"/>
  <c r="AO458" i="1"/>
  <c r="AP458" i="1"/>
  <c r="D393" i="1"/>
  <c r="D392" i="1"/>
  <c r="D123" i="1"/>
  <c r="D122" i="1"/>
  <c r="V460" i="1"/>
  <c r="AP213" i="1"/>
  <c r="AP214" i="1"/>
  <c r="AR149" i="1"/>
  <c r="AQ149" i="1" s="1"/>
  <c r="BJ412" i="1"/>
  <c r="BH420" i="1"/>
  <c r="BT416" i="1"/>
  <c r="W367" i="1"/>
  <c r="W368" i="1"/>
  <c r="Y194" i="1"/>
  <c r="X194" i="1" s="1"/>
  <c r="C460" i="1"/>
  <c r="AR174" i="1"/>
  <c r="AQ174" i="1" s="1"/>
  <c r="C348" i="1"/>
  <c r="C355" i="1" s="1"/>
  <c r="F351" i="1" s="1"/>
  <c r="Q343" i="1" s="1"/>
  <c r="Q344" i="1" s="1"/>
  <c r="AP239" i="1"/>
  <c r="AP238" i="1"/>
  <c r="E122" i="1"/>
  <c r="C130" i="1"/>
  <c r="O126" i="1"/>
  <c r="AQ213" i="1"/>
  <c r="AO221" i="1"/>
  <c r="BA217" i="1"/>
  <c r="BI412" i="1"/>
  <c r="BI413" i="1"/>
  <c r="BK149" i="1"/>
  <c r="BJ149" i="1" s="1"/>
  <c r="BH238" i="1"/>
  <c r="BI235" i="1"/>
  <c r="W237" i="1"/>
  <c r="W236" i="1" s="1"/>
  <c r="X236" i="1"/>
  <c r="AJ348" i="1"/>
  <c r="AJ351" i="1" s="1"/>
  <c r="AJ352" i="1" s="1"/>
  <c r="AJ353" i="1" s="1"/>
  <c r="AJ341" i="1"/>
  <c r="W432" i="1"/>
  <c r="V435" i="1"/>
  <c r="BH168" i="1"/>
  <c r="BI168" i="1"/>
  <c r="E392" i="1"/>
  <c r="C400" i="1"/>
  <c r="O396" i="1"/>
  <c r="V457" i="1"/>
  <c r="W457" i="1" s="1"/>
  <c r="W146" i="1"/>
  <c r="W145" i="1"/>
  <c r="X367" i="1"/>
  <c r="V375" i="1"/>
  <c r="AH371" i="1"/>
  <c r="E145" i="1"/>
  <c r="C153" i="1"/>
  <c r="O149" i="1"/>
  <c r="BJ435" i="1"/>
  <c r="BH443" i="1"/>
  <c r="BT439" i="1"/>
  <c r="C457" i="1"/>
  <c r="D457" i="1" s="1"/>
  <c r="V168" i="1"/>
  <c r="W168" i="1"/>
  <c r="V390" i="1"/>
  <c r="W390" i="1"/>
  <c r="AP368" i="1"/>
  <c r="AP367" i="1"/>
  <c r="V416" i="1"/>
  <c r="V423" i="1" s="1"/>
  <c r="Y419" i="1" s="1"/>
  <c r="AJ411" i="1" s="1"/>
  <c r="AJ412" i="1" s="1"/>
  <c r="BK194" i="1"/>
  <c r="AO194" i="1"/>
  <c r="AO201" i="1" s="1"/>
  <c r="AR197" i="1" s="1"/>
  <c r="BC189" i="1" s="1"/>
  <c r="BC190" i="1" s="1"/>
  <c r="AO348" i="1"/>
  <c r="AO355" i="1" s="1"/>
  <c r="AR351" i="1" s="1"/>
  <c r="BC343" i="1" s="1"/>
  <c r="BC344" i="1" s="1"/>
  <c r="AO126" i="1"/>
  <c r="AO133" i="1" s="1"/>
  <c r="AR129" i="1" s="1"/>
  <c r="BC121" i="1" s="1"/>
  <c r="BC122" i="1" s="1"/>
  <c r="BH392" i="1"/>
  <c r="BI389" i="1"/>
  <c r="AP434" i="1"/>
  <c r="AP433" i="1" s="1"/>
  <c r="AQ433" i="1"/>
  <c r="C170" i="1"/>
  <c r="D237" i="1"/>
  <c r="E236" i="1"/>
  <c r="BH365" i="1"/>
  <c r="BK351" i="1"/>
  <c r="BV343" i="1" s="1"/>
  <c r="BV344" i="1" s="1"/>
  <c r="BH213" i="1"/>
  <c r="BI210" i="1"/>
  <c r="X145" i="1"/>
  <c r="V153" i="1"/>
  <c r="AH149" i="1"/>
  <c r="C211" i="1"/>
  <c r="AQ416" i="1"/>
  <c r="AO416" i="1" s="1"/>
  <c r="AO423" i="1" s="1"/>
  <c r="BJ460" i="1"/>
  <c r="BH468" i="1"/>
  <c r="BT464" i="1"/>
  <c r="C367" i="1"/>
  <c r="D364" i="1"/>
  <c r="V213" i="1"/>
  <c r="W210" i="1"/>
  <c r="BH126" i="1"/>
  <c r="BH133" i="1" s="1"/>
  <c r="BK129" i="1" s="1"/>
  <c r="BV121" i="1" s="1"/>
  <c r="BV122" i="1" s="1"/>
  <c r="AQ367" i="1"/>
  <c r="AO375" i="1"/>
  <c r="BA371" i="1"/>
  <c r="AR396" i="1"/>
  <c r="AQ396" i="1" s="1"/>
  <c r="F439" i="1"/>
  <c r="F194" i="1"/>
  <c r="E194" i="1" s="1"/>
  <c r="BI365" i="1"/>
  <c r="BH167" i="1" l="1"/>
  <c r="AJ416" i="1"/>
  <c r="AJ419" i="1" s="1"/>
  <c r="AJ420" i="1" s="1"/>
  <c r="AJ421" i="1" s="1"/>
  <c r="AJ409" i="1"/>
  <c r="BC194" i="1"/>
  <c r="BC197" i="1" s="1"/>
  <c r="BC198" i="1" s="1"/>
  <c r="BC199" i="1" s="1"/>
  <c r="BC187" i="1"/>
  <c r="BC119" i="1"/>
  <c r="BC126" i="1"/>
  <c r="BC129" i="1" s="1"/>
  <c r="BC130" i="1" s="1"/>
  <c r="BC131" i="1" s="1"/>
  <c r="Q348" i="1"/>
  <c r="Q351" i="1" s="1"/>
  <c r="Q352" i="1" s="1"/>
  <c r="Q353" i="1" s="1"/>
  <c r="Q341" i="1"/>
  <c r="BK464" i="1"/>
  <c r="BJ464" i="1" s="1"/>
  <c r="C213" i="1"/>
  <c r="BH367" i="1"/>
  <c r="E170" i="1"/>
  <c r="C178" i="1"/>
  <c r="O174" i="1"/>
  <c r="V170" i="1"/>
  <c r="AO460" i="1"/>
  <c r="D368" i="1"/>
  <c r="D367" i="1"/>
  <c r="C210" i="1"/>
  <c r="D210" i="1" s="1"/>
  <c r="BI214" i="1"/>
  <c r="BI213" i="1"/>
  <c r="BH364" i="1"/>
  <c r="BI364" i="1" s="1"/>
  <c r="D171" i="1"/>
  <c r="D170" i="1"/>
  <c r="BJ392" i="1"/>
  <c r="BH400" i="1"/>
  <c r="BT396" i="1"/>
  <c r="V392" i="1"/>
  <c r="V167" i="1"/>
  <c r="W167" i="1" s="1"/>
  <c r="Y371" i="1"/>
  <c r="X435" i="1"/>
  <c r="V443" i="1"/>
  <c r="AH439" i="1"/>
  <c r="AR217" i="1"/>
  <c r="AQ217" i="1" s="1"/>
  <c r="BK416" i="1"/>
  <c r="BJ416" i="1" s="1"/>
  <c r="AO149" i="1"/>
  <c r="AO156" i="1" s="1"/>
  <c r="AR152" i="1" s="1"/>
  <c r="BC144" i="1" s="1"/>
  <c r="BC145" i="1" s="1"/>
  <c r="X460" i="1"/>
  <c r="V468" i="1"/>
  <c r="AH464" i="1"/>
  <c r="AO457" i="1"/>
  <c r="AP457" i="1" s="1"/>
  <c r="Y125" i="1"/>
  <c r="AI121" i="1"/>
  <c r="AA138" i="1" s="1"/>
  <c r="AI123" i="1"/>
  <c r="AA137" i="1" s="1"/>
  <c r="AI122" i="1"/>
  <c r="AA140" i="1" s="1"/>
  <c r="Y121" i="1"/>
  <c r="Y119" i="1"/>
  <c r="X213" i="1"/>
  <c r="V221" i="1"/>
  <c r="AH217" i="1"/>
  <c r="BV126" i="1"/>
  <c r="BV129" i="1" s="1"/>
  <c r="BV130" i="1" s="1"/>
  <c r="BV131" i="1" s="1"/>
  <c r="BV119" i="1"/>
  <c r="BJ238" i="1"/>
  <c r="BH246" i="1"/>
  <c r="BT242" i="1"/>
  <c r="BC348" i="1"/>
  <c r="BC351" i="1" s="1"/>
  <c r="BC352" i="1" s="1"/>
  <c r="BC353" i="1" s="1"/>
  <c r="BC341" i="1"/>
  <c r="C194" i="1"/>
  <c r="C201" i="1" s="1"/>
  <c r="F197" i="1" s="1"/>
  <c r="Q189" i="1" s="1"/>
  <c r="Q190" i="1" s="1"/>
  <c r="AO396" i="1"/>
  <c r="AO403" i="1" s="1"/>
  <c r="AR399" i="1" s="1"/>
  <c r="BC391" i="1" s="1"/>
  <c r="BC392" i="1" s="1"/>
  <c r="E367" i="1"/>
  <c r="C375" i="1"/>
  <c r="O371" i="1"/>
  <c r="Y149" i="1"/>
  <c r="BJ213" i="1"/>
  <c r="BH221" i="1"/>
  <c r="BT217" i="1"/>
  <c r="V389" i="1"/>
  <c r="W389" i="1" s="1"/>
  <c r="F149" i="1"/>
  <c r="E149" i="1" s="1"/>
  <c r="W435" i="1"/>
  <c r="W436" i="1"/>
  <c r="V236" i="1"/>
  <c r="BH149" i="1"/>
  <c r="BH156" i="1" s="1"/>
  <c r="BK152" i="1" s="1"/>
  <c r="BV144" i="1" s="1"/>
  <c r="BV145" i="1" s="1"/>
  <c r="AO174" i="1"/>
  <c r="AO181" i="1" s="1"/>
  <c r="AR177" i="1" s="1"/>
  <c r="BC169" i="1" s="1"/>
  <c r="BC170" i="1" s="1"/>
  <c r="V194" i="1"/>
  <c r="V201" i="1" s="1"/>
  <c r="Y197" i="1" s="1"/>
  <c r="AJ189" i="1" s="1"/>
  <c r="AJ190" i="1" s="1"/>
  <c r="AR242" i="1"/>
  <c r="AQ242" i="1" s="1"/>
  <c r="F415" i="1"/>
  <c r="P413" i="1"/>
  <c r="H427" i="1" s="1"/>
  <c r="P411" i="1"/>
  <c r="H428" i="1" s="1"/>
  <c r="F411" i="1"/>
  <c r="F409" i="1"/>
  <c r="P412" i="1"/>
  <c r="H430" i="1" s="1"/>
  <c r="BI392" i="1"/>
  <c r="BI393" i="1"/>
  <c r="Y347" i="1"/>
  <c r="Y341" i="1"/>
  <c r="AI343" i="1"/>
  <c r="AA360" i="1" s="1"/>
  <c r="AI345" i="1"/>
  <c r="AA359" i="1" s="1"/>
  <c r="AI344" i="1"/>
  <c r="AA362" i="1" s="1"/>
  <c r="Y343" i="1"/>
  <c r="F126" i="1"/>
  <c r="E126" i="1" s="1"/>
  <c r="D461" i="1"/>
  <c r="D460" i="1"/>
  <c r="W460" i="1"/>
  <c r="W461" i="1"/>
  <c r="E439" i="1"/>
  <c r="C439" i="1" s="1"/>
  <c r="C446" i="1" s="1"/>
  <c r="AR371" i="1"/>
  <c r="W214" i="1"/>
  <c r="W213" i="1"/>
  <c r="AR419" i="1"/>
  <c r="BC411" i="1" s="1"/>
  <c r="BC412" i="1" s="1"/>
  <c r="BV348" i="1"/>
  <c r="BV351" i="1" s="1"/>
  <c r="BV352" i="1" s="1"/>
  <c r="BV353" i="1" s="1"/>
  <c r="BV341" i="1"/>
  <c r="C236" i="1"/>
  <c r="D236" i="1"/>
  <c r="AO433" i="1"/>
  <c r="AO432" i="1" s="1"/>
  <c r="BJ194" i="1"/>
  <c r="BK439" i="1"/>
  <c r="BJ439" i="1" s="1"/>
  <c r="F396" i="1"/>
  <c r="E396" i="1" s="1"/>
  <c r="BH170" i="1"/>
  <c r="BI167" i="1"/>
  <c r="BI238" i="1"/>
  <c r="BI239" i="1"/>
  <c r="E460" i="1"/>
  <c r="C468" i="1"/>
  <c r="O464" i="1"/>
  <c r="BV149" i="1" l="1"/>
  <c r="BV152" i="1" s="1"/>
  <c r="BV153" i="1" s="1"/>
  <c r="BV154" i="1" s="1"/>
  <c r="BV142" i="1"/>
  <c r="AP461" i="1"/>
  <c r="AP460" i="1"/>
  <c r="BC149" i="1"/>
  <c r="BC152" i="1" s="1"/>
  <c r="BC153" i="1" s="1"/>
  <c r="BC154" i="1" s="1"/>
  <c r="BC142" i="1"/>
  <c r="D214" i="1"/>
  <c r="D213" i="1"/>
  <c r="AJ194" i="1"/>
  <c r="AJ197" i="1" s="1"/>
  <c r="AJ198" i="1" s="1"/>
  <c r="AJ199" i="1" s="1"/>
  <c r="AJ187" i="1"/>
  <c r="W392" i="1"/>
  <c r="W393" i="1"/>
  <c r="BC396" i="1"/>
  <c r="BC399" i="1" s="1"/>
  <c r="BC400" i="1" s="1"/>
  <c r="BC401" i="1" s="1"/>
  <c r="BC389" i="1"/>
  <c r="BI367" i="1"/>
  <c r="BI368" i="1"/>
  <c r="C238" i="1"/>
  <c r="BK242" i="1"/>
  <c r="BJ242" i="1" s="1"/>
  <c r="C396" i="1"/>
  <c r="C403" i="1" s="1"/>
  <c r="F442" i="1"/>
  <c r="Q434" i="1" s="1"/>
  <c r="Q435" i="1" s="1"/>
  <c r="Y345" i="1"/>
  <c r="Y344" i="1"/>
  <c r="AG344" i="1" s="1"/>
  <c r="AI346" i="1" s="1"/>
  <c r="AA361" i="1" s="1"/>
  <c r="AO242" i="1"/>
  <c r="AO249" i="1" s="1"/>
  <c r="AR245" i="1" s="1"/>
  <c r="BC237" i="1" s="1"/>
  <c r="BC238" i="1" s="1"/>
  <c r="V238" i="1"/>
  <c r="F371" i="1"/>
  <c r="Y217" i="1"/>
  <c r="X217" i="1" s="1"/>
  <c r="AA121" i="1"/>
  <c r="AH122" i="1" s="1"/>
  <c r="AI139" i="1" s="1"/>
  <c r="AA119" i="1"/>
  <c r="AH123" i="1" s="1"/>
  <c r="AI138" i="1" s="1"/>
  <c r="Y464" i="1"/>
  <c r="X464" i="1" s="1"/>
  <c r="AQ460" i="1"/>
  <c r="AO468" i="1"/>
  <c r="BA464" i="1"/>
  <c r="X170" i="1"/>
  <c r="V178" i="1"/>
  <c r="AH174" i="1"/>
  <c r="F347" i="1"/>
  <c r="F343" i="1"/>
  <c r="F341" i="1"/>
  <c r="P344" i="1"/>
  <c r="H362" i="1" s="1"/>
  <c r="P345" i="1"/>
  <c r="H359" i="1" s="1"/>
  <c r="P343" i="1"/>
  <c r="H360" i="1" s="1"/>
  <c r="BB190" i="1"/>
  <c r="AT208" i="1" s="1"/>
  <c r="BB189" i="1"/>
  <c r="AT206" i="1" s="1"/>
  <c r="AR189" i="1"/>
  <c r="AR193" i="1"/>
  <c r="BB191" i="1"/>
  <c r="AT205" i="1" s="1"/>
  <c r="AR187" i="1"/>
  <c r="AA343" i="1"/>
  <c r="AH344" i="1" s="1"/>
  <c r="AI361" i="1" s="1"/>
  <c r="AA341" i="1"/>
  <c r="AH345" i="1" s="1"/>
  <c r="AI360" i="1" s="1"/>
  <c r="BK125" i="1"/>
  <c r="BK121" i="1"/>
  <c r="BU123" i="1"/>
  <c r="BM137" i="1" s="1"/>
  <c r="BU122" i="1"/>
  <c r="BM140" i="1" s="1"/>
  <c r="BU121" i="1"/>
  <c r="BM138" i="1" s="1"/>
  <c r="BK119" i="1"/>
  <c r="BC174" i="1"/>
  <c r="BC177" i="1" s="1"/>
  <c r="BC178" i="1" s="1"/>
  <c r="BC179" i="1" s="1"/>
  <c r="BC167" i="1"/>
  <c r="Q194" i="1"/>
  <c r="Q197" i="1" s="1"/>
  <c r="Q198" i="1" s="1"/>
  <c r="Q199" i="1" s="1"/>
  <c r="Q187" i="1"/>
  <c r="C235" i="1"/>
  <c r="D235" i="1" s="1"/>
  <c r="BI171" i="1"/>
  <c r="BI170" i="1"/>
  <c r="H411" i="1"/>
  <c r="O412" i="1" s="1"/>
  <c r="P429" i="1" s="1"/>
  <c r="H409" i="1"/>
  <c r="O413" i="1" s="1"/>
  <c r="P428" i="1" s="1"/>
  <c r="F413" i="1"/>
  <c r="F412" i="1"/>
  <c r="N412" i="1" s="1"/>
  <c r="P414" i="1" s="1"/>
  <c r="H429" i="1" s="1"/>
  <c r="V235" i="1"/>
  <c r="W235" i="1" s="1"/>
  <c r="C149" i="1"/>
  <c r="C156" i="1" s="1"/>
  <c r="F152" i="1" s="1"/>
  <c r="Q144" i="1" s="1"/>
  <c r="Q145" i="1" s="1"/>
  <c r="Y123" i="1"/>
  <c r="Y122" i="1"/>
  <c r="AG122" i="1" s="1"/>
  <c r="AI124" i="1" s="1"/>
  <c r="AA139" i="1" s="1"/>
  <c r="BH416" i="1"/>
  <c r="BH423" i="1" s="1"/>
  <c r="BK419" i="1" s="1"/>
  <c r="BV411" i="1" s="1"/>
  <c r="BV412" i="1" s="1"/>
  <c r="AO217" i="1"/>
  <c r="AO224" i="1" s="1"/>
  <c r="AR220" i="1" s="1"/>
  <c r="BC212" i="1" s="1"/>
  <c r="BC213" i="1" s="1"/>
  <c r="BH194" i="1"/>
  <c r="BH201" i="1" s="1"/>
  <c r="BK197" i="1" s="1"/>
  <c r="BV189" i="1" s="1"/>
  <c r="BV190" i="1" s="1"/>
  <c r="BB122" i="1"/>
  <c r="AT140" i="1" s="1"/>
  <c r="BB121" i="1"/>
  <c r="AT138" i="1" s="1"/>
  <c r="BC138" i="1"/>
  <c r="BB123" i="1"/>
  <c r="AT137" i="1" s="1"/>
  <c r="AR121" i="1"/>
  <c r="AR125" i="1"/>
  <c r="AR119" i="1"/>
  <c r="F399" i="1"/>
  <c r="Q391" i="1" s="1"/>
  <c r="Q392" i="1" s="1"/>
  <c r="BC416" i="1"/>
  <c r="BC419" i="1" s="1"/>
  <c r="BC420" i="1" s="1"/>
  <c r="BC421" i="1" s="1"/>
  <c r="BC409" i="1"/>
  <c r="BK217" i="1"/>
  <c r="BJ217" i="1" s="1"/>
  <c r="Y439" i="1"/>
  <c r="X439" i="1" s="1"/>
  <c r="BK396" i="1"/>
  <c r="W171" i="1"/>
  <c r="W170" i="1"/>
  <c r="E213" i="1"/>
  <c r="C221" i="1"/>
  <c r="O217" i="1"/>
  <c r="F464" i="1"/>
  <c r="E464" i="1" s="1"/>
  <c r="AP432" i="1"/>
  <c r="AO435" i="1"/>
  <c r="BJ170" i="1"/>
  <c r="BH178" i="1"/>
  <c r="BT174" i="1"/>
  <c r="BH439" i="1"/>
  <c r="BH446" i="1" s="1"/>
  <c r="BK442" i="1" s="1"/>
  <c r="BV434" i="1" s="1"/>
  <c r="BV435" i="1" s="1"/>
  <c r="BK347" i="1"/>
  <c r="BU343" i="1"/>
  <c r="BM360" i="1" s="1"/>
  <c r="BK341" i="1"/>
  <c r="BK343" i="1"/>
  <c r="BU345" i="1"/>
  <c r="BM359" i="1" s="1"/>
  <c r="BU344" i="1"/>
  <c r="BM362" i="1" s="1"/>
  <c r="AQ371" i="1"/>
  <c r="C126" i="1"/>
  <c r="C133" i="1" s="1"/>
  <c r="F129" i="1" s="1"/>
  <c r="Q121" i="1" s="1"/>
  <c r="Q122" i="1" s="1"/>
  <c r="X149" i="1"/>
  <c r="AR341" i="1"/>
  <c r="BB344" i="1"/>
  <c r="AT362" i="1" s="1"/>
  <c r="BB343" i="1"/>
  <c r="AT360" i="1" s="1"/>
  <c r="BB345" i="1"/>
  <c r="AT359" i="1" s="1"/>
  <c r="AR343" i="1"/>
  <c r="AR347" i="1"/>
  <c r="X371" i="1"/>
  <c r="V371" i="1" s="1"/>
  <c r="V378" i="1" s="1"/>
  <c r="X392" i="1"/>
  <c r="V400" i="1"/>
  <c r="AH396" i="1"/>
  <c r="F174" i="1"/>
  <c r="BJ367" i="1"/>
  <c r="BH375" i="1"/>
  <c r="BT371" i="1"/>
  <c r="BH464" i="1"/>
  <c r="BH471" i="1" s="1"/>
  <c r="BK467" i="1" s="1"/>
  <c r="BV459" i="1" s="1"/>
  <c r="BV460" i="1" s="1"/>
  <c r="AI413" i="1"/>
  <c r="AA427" i="1" s="1"/>
  <c r="Y415" i="1"/>
  <c r="AI412" i="1"/>
  <c r="AA430" i="1" s="1"/>
  <c r="Y411" i="1"/>
  <c r="Y409" i="1"/>
  <c r="AI411" i="1"/>
  <c r="AA428" i="1" s="1"/>
  <c r="BV439" i="1" l="1"/>
  <c r="BV442" i="1" s="1"/>
  <c r="BV443" i="1" s="1"/>
  <c r="BV444" i="1" s="1"/>
  <c r="BV432" i="1"/>
  <c r="W238" i="1"/>
  <c r="W239" i="1"/>
  <c r="BV194" i="1"/>
  <c r="BV197" i="1" s="1"/>
  <c r="BV198" i="1" s="1"/>
  <c r="BV199" i="1" s="1"/>
  <c r="BV187" i="1"/>
  <c r="BC217" i="1"/>
  <c r="BC220" i="1" s="1"/>
  <c r="BC221" i="1" s="1"/>
  <c r="BC222" i="1" s="1"/>
  <c r="BC210" i="1"/>
  <c r="Q149" i="1"/>
  <c r="Q152" i="1" s="1"/>
  <c r="Q153" i="1" s="1"/>
  <c r="Q154" i="1" s="1"/>
  <c r="Q142" i="1"/>
  <c r="D239" i="1"/>
  <c r="D238" i="1"/>
  <c r="BC242" i="1"/>
  <c r="BC245" i="1" s="1"/>
  <c r="BC246" i="1" s="1"/>
  <c r="BC247" i="1" s="1"/>
  <c r="BC235" i="1"/>
  <c r="BK345" i="1"/>
  <c r="BK344" i="1"/>
  <c r="BS344" i="1" s="1"/>
  <c r="BU346" i="1" s="1"/>
  <c r="BM361" i="1" s="1"/>
  <c r="BM119" i="1"/>
  <c r="BT123" i="1" s="1"/>
  <c r="BU138" i="1" s="1"/>
  <c r="BM121" i="1"/>
  <c r="BT122" i="1" s="1"/>
  <c r="BU139" i="1" s="1"/>
  <c r="AR464" i="1"/>
  <c r="E238" i="1"/>
  <c r="C246" i="1"/>
  <c r="O242" i="1"/>
  <c r="Y396" i="1"/>
  <c r="X396" i="1" s="1"/>
  <c r="AR345" i="1"/>
  <c r="AR344" i="1"/>
  <c r="AZ344" i="1" s="1"/>
  <c r="BB346" i="1" s="1"/>
  <c r="AT361" i="1" s="1"/>
  <c r="C464" i="1"/>
  <c r="C471" i="1" s="1"/>
  <c r="BH217" i="1"/>
  <c r="BH224" i="1" s="1"/>
  <c r="BK220" i="1" s="1"/>
  <c r="BV212" i="1" s="1"/>
  <c r="BV213" i="1" s="1"/>
  <c r="AT121" i="1"/>
  <c r="BA122" i="1" s="1"/>
  <c r="BB139" i="1" s="1"/>
  <c r="AT119" i="1"/>
  <c r="BA123" i="1" s="1"/>
  <c r="BB138" i="1" s="1"/>
  <c r="BC139" i="1"/>
  <c r="BA137" i="1"/>
  <c r="BB137" i="1"/>
  <c r="BK123" i="1"/>
  <c r="BK122" i="1"/>
  <c r="BS122" i="1" s="1"/>
  <c r="BU124" i="1" s="1"/>
  <c r="BM139" i="1" s="1"/>
  <c r="AR191" i="1"/>
  <c r="AR190" i="1"/>
  <c r="AZ190" i="1" s="1"/>
  <c r="BB192" i="1" s="1"/>
  <c r="AT207" i="1" s="1"/>
  <c r="H343" i="1"/>
  <c r="O344" i="1" s="1"/>
  <c r="P361" i="1" s="1"/>
  <c r="H341" i="1"/>
  <c r="O345" i="1" s="1"/>
  <c r="P360" i="1" s="1"/>
  <c r="Y174" i="1"/>
  <c r="X174" i="1" s="1"/>
  <c r="AR395" i="1"/>
  <c r="BB393" i="1"/>
  <c r="AQ359" i="1" s="1"/>
  <c r="BB392" i="1"/>
  <c r="AQ362" i="1" s="1"/>
  <c r="AR391" i="1"/>
  <c r="AR389" i="1"/>
  <c r="BB391" i="1"/>
  <c r="AQ360" i="1" s="1"/>
  <c r="AI191" i="1"/>
  <c r="AA205" i="1" s="1"/>
  <c r="AI189" i="1"/>
  <c r="AA206" i="1" s="1"/>
  <c r="Y193" i="1"/>
  <c r="AI190" i="1"/>
  <c r="AA208" i="1" s="1"/>
  <c r="Y189" i="1"/>
  <c r="Y187" i="1"/>
  <c r="BB145" i="1"/>
  <c r="AR140" i="1" s="1"/>
  <c r="BB144" i="1"/>
  <c r="AR138" i="1" s="1"/>
  <c r="AR144" i="1"/>
  <c r="AR148" i="1"/>
  <c r="BB146" i="1"/>
  <c r="AR137" i="1" s="1"/>
  <c r="AR142" i="1"/>
  <c r="BK371" i="1"/>
  <c r="BJ371" i="1" s="1"/>
  <c r="Y374" i="1"/>
  <c r="AJ366" i="1" s="1"/>
  <c r="AJ367" i="1" s="1"/>
  <c r="Q396" i="1"/>
  <c r="Q399" i="1" s="1"/>
  <c r="Q400" i="1" s="1"/>
  <c r="Q401" i="1" s="1"/>
  <c r="Q389" i="1"/>
  <c r="Q126" i="1"/>
  <c r="Q129" i="1" s="1"/>
  <c r="Q130" i="1" s="1"/>
  <c r="Q131" i="1" s="1"/>
  <c r="Q119" i="1"/>
  <c r="AA411" i="1"/>
  <c r="AH412" i="1" s="1"/>
  <c r="AI429" i="1" s="1"/>
  <c r="AA409" i="1"/>
  <c r="AH413" i="1" s="1"/>
  <c r="AI428" i="1" s="1"/>
  <c r="AT343" i="1"/>
  <c r="BA344" i="1" s="1"/>
  <c r="BB361" i="1" s="1"/>
  <c r="AT341" i="1"/>
  <c r="BA345" i="1" s="1"/>
  <c r="BB360" i="1" s="1"/>
  <c r="BM343" i="1"/>
  <c r="BT344" i="1" s="1"/>
  <c r="BU361" i="1" s="1"/>
  <c r="BM341" i="1"/>
  <c r="BT345" i="1" s="1"/>
  <c r="BU360" i="1" s="1"/>
  <c r="AQ435" i="1"/>
  <c r="AO443" i="1"/>
  <c r="BA439" i="1"/>
  <c r="F217" i="1"/>
  <c r="E217" i="1" s="1"/>
  <c r="V439" i="1"/>
  <c r="V446" i="1" s="1"/>
  <c r="Y442" i="1" s="1"/>
  <c r="AJ434" i="1" s="1"/>
  <c r="AJ435" i="1" s="1"/>
  <c r="AR123" i="1"/>
  <c r="AR122" i="1"/>
  <c r="AZ122" i="1" s="1"/>
  <c r="BB124" i="1" s="1"/>
  <c r="AT139" i="1" s="1"/>
  <c r="V464" i="1"/>
  <c r="V471" i="1" s="1"/>
  <c r="Y467" i="1" s="1"/>
  <c r="AJ459" i="1" s="1"/>
  <c r="AJ460" i="1" s="1"/>
  <c r="V217" i="1"/>
  <c r="V224" i="1" s="1"/>
  <c r="Y220" i="1" s="1"/>
  <c r="AJ212" i="1" s="1"/>
  <c r="AJ213" i="1" s="1"/>
  <c r="BH242" i="1"/>
  <c r="BH249" i="1" s="1"/>
  <c r="BK245" i="1" s="1"/>
  <c r="BV237" i="1" s="1"/>
  <c r="BV238" i="1" s="1"/>
  <c r="Y413" i="1"/>
  <c r="Y412" i="1"/>
  <c r="AG412" i="1" s="1"/>
  <c r="AI414" i="1" s="1"/>
  <c r="AA429" i="1" s="1"/>
  <c r="F467" i="1"/>
  <c r="Q459" i="1" s="1"/>
  <c r="Q460" i="1" s="1"/>
  <c r="BV464" i="1"/>
  <c r="BV467" i="1" s="1"/>
  <c r="BV468" i="1" s="1"/>
  <c r="BV469" i="1" s="1"/>
  <c r="BV457" i="1"/>
  <c r="P190" i="1"/>
  <c r="H208" i="1" s="1"/>
  <c r="F193" i="1"/>
  <c r="P191" i="1"/>
  <c r="H205" i="1" s="1"/>
  <c r="P189" i="1"/>
  <c r="H206" i="1" s="1"/>
  <c r="F189" i="1"/>
  <c r="F187" i="1"/>
  <c r="BV416" i="1"/>
  <c r="BV419" i="1" s="1"/>
  <c r="BV420" i="1" s="1"/>
  <c r="BV421" i="1" s="1"/>
  <c r="BV409" i="1"/>
  <c r="E174" i="1"/>
  <c r="C174" i="1" s="1"/>
  <c r="C181" i="1" s="1"/>
  <c r="BK174" i="1"/>
  <c r="BJ174" i="1" s="1"/>
  <c r="AP435" i="1"/>
  <c r="AP436" i="1"/>
  <c r="BJ396" i="1"/>
  <c r="BH396" i="1" s="1"/>
  <c r="BH403" i="1" s="1"/>
  <c r="V149" i="1"/>
  <c r="V156" i="1" s="1"/>
  <c r="Y152" i="1" s="1"/>
  <c r="AJ144" i="1" s="1"/>
  <c r="AJ145" i="1" s="1"/>
  <c r="AR415" i="1"/>
  <c r="BB413" i="1"/>
  <c r="AT427" i="1" s="1"/>
  <c r="BB412" i="1"/>
  <c r="AT430" i="1" s="1"/>
  <c r="AR409" i="1"/>
  <c r="BB411" i="1"/>
  <c r="AT428" i="1" s="1"/>
  <c r="AR411" i="1"/>
  <c r="BB170" i="1"/>
  <c r="AQ140" i="1" s="1"/>
  <c r="BB169" i="1"/>
  <c r="AQ138" i="1" s="1"/>
  <c r="AR169" i="1"/>
  <c r="AR173" i="1"/>
  <c r="BB171" i="1"/>
  <c r="AQ137" i="1" s="1"/>
  <c r="AR167" i="1"/>
  <c r="AT189" i="1"/>
  <c r="BA190" i="1" s="1"/>
  <c r="BB207" i="1" s="1"/>
  <c r="AT187" i="1"/>
  <c r="BA191" i="1" s="1"/>
  <c r="BB206" i="1" s="1"/>
  <c r="F345" i="1"/>
  <c r="F344" i="1"/>
  <c r="N344" i="1" s="1"/>
  <c r="P346" i="1" s="1"/>
  <c r="H361" i="1" s="1"/>
  <c r="E371" i="1"/>
  <c r="C371" i="1" s="1"/>
  <c r="C378" i="1" s="1"/>
  <c r="X238" i="1"/>
  <c r="V246" i="1"/>
  <c r="AH242" i="1"/>
  <c r="Q439" i="1"/>
  <c r="Q442" i="1" s="1"/>
  <c r="Q443" i="1" s="1"/>
  <c r="Q444" i="1" s="1"/>
  <c r="Q432" i="1"/>
  <c r="AO371" i="1"/>
  <c r="AO378" i="1" s="1"/>
  <c r="AR374" i="1" s="1"/>
  <c r="BC366" i="1" s="1"/>
  <c r="BC367" i="1" s="1"/>
  <c r="BK148" i="1"/>
  <c r="BK144" i="1"/>
  <c r="BU146" i="1"/>
  <c r="BK137" i="1" s="1"/>
  <c r="BU145" i="1"/>
  <c r="BK140" i="1" s="1"/>
  <c r="BU144" i="1"/>
  <c r="BK138" i="1" s="1"/>
  <c r="BK142" i="1"/>
  <c r="AJ142" i="1" l="1"/>
  <c r="AJ149" i="1"/>
  <c r="AJ152" i="1" s="1"/>
  <c r="AJ153" i="1" s="1"/>
  <c r="AJ154" i="1" s="1"/>
  <c r="BC371" i="1"/>
  <c r="BC374" i="1" s="1"/>
  <c r="BC375" i="1" s="1"/>
  <c r="BC376" i="1" s="1"/>
  <c r="BC364" i="1"/>
  <c r="BV242" i="1"/>
  <c r="BV245" i="1" s="1"/>
  <c r="BV246" i="1" s="1"/>
  <c r="BV247" i="1" s="1"/>
  <c r="BV235" i="1"/>
  <c r="AJ464" i="1"/>
  <c r="AJ467" i="1" s="1"/>
  <c r="AJ468" i="1" s="1"/>
  <c r="AJ469" i="1" s="1"/>
  <c r="AJ457" i="1"/>
  <c r="AJ439" i="1"/>
  <c r="AJ442" i="1" s="1"/>
  <c r="AJ443" i="1" s="1"/>
  <c r="AJ444" i="1" s="1"/>
  <c r="AJ432" i="1"/>
  <c r="P392" i="1"/>
  <c r="E362" i="1" s="1"/>
  <c r="F395" i="1"/>
  <c r="P393" i="1"/>
  <c r="E359" i="1" s="1"/>
  <c r="P391" i="1"/>
  <c r="E360" i="1" s="1"/>
  <c r="F389" i="1"/>
  <c r="F391" i="1"/>
  <c r="AT144" i="1"/>
  <c r="BA145" i="1" s="1"/>
  <c r="BA138" i="1" s="1"/>
  <c r="BD136" i="1" s="1"/>
  <c r="AT142" i="1"/>
  <c r="BA146" i="1" s="1"/>
  <c r="BA139" i="1" s="1"/>
  <c r="F242" i="1"/>
  <c r="E242" i="1" s="1"/>
  <c r="AT169" i="1"/>
  <c r="BA170" i="1" s="1"/>
  <c r="AZ138" i="1" s="1"/>
  <c r="AT167" i="1"/>
  <c r="BA171" i="1" s="1"/>
  <c r="AZ139" i="1" s="1"/>
  <c r="BK399" i="1"/>
  <c r="BV391" i="1" s="1"/>
  <c r="BV392" i="1" s="1"/>
  <c r="BH174" i="1"/>
  <c r="BH181" i="1" s="1"/>
  <c r="BK177" i="1" s="1"/>
  <c r="BV169" i="1" s="1"/>
  <c r="BV170" i="1" s="1"/>
  <c r="Q464" i="1"/>
  <c r="Q467" i="1" s="1"/>
  <c r="Q468" i="1" s="1"/>
  <c r="Q469" i="1" s="1"/>
  <c r="Q428" i="1" s="1"/>
  <c r="Q457" i="1"/>
  <c r="AJ371" i="1"/>
  <c r="AJ374" i="1" s="1"/>
  <c r="AJ375" i="1" s="1"/>
  <c r="AJ376" i="1" s="1"/>
  <c r="AJ364" i="1"/>
  <c r="BB213" i="1"/>
  <c r="AR208" i="1" s="1"/>
  <c r="BB212" i="1"/>
  <c r="AR206" i="1" s="1"/>
  <c r="AR212" i="1"/>
  <c r="AR216" i="1"/>
  <c r="BB214" i="1"/>
  <c r="AR205" i="1" s="1"/>
  <c r="AR210" i="1"/>
  <c r="BC206" i="1"/>
  <c r="AJ210" i="1"/>
  <c r="AJ217" i="1"/>
  <c r="AJ220" i="1" s="1"/>
  <c r="AJ221" i="1" s="1"/>
  <c r="AJ222" i="1" s="1"/>
  <c r="BD137" i="1"/>
  <c r="BM142" i="1"/>
  <c r="BT146" i="1" s="1"/>
  <c r="BT139" i="1" s="1"/>
  <c r="BM144" i="1"/>
  <c r="BT145" i="1" s="1"/>
  <c r="BT138" i="1" s="1"/>
  <c r="P436" i="1"/>
  <c r="F427" i="1" s="1"/>
  <c r="P434" i="1"/>
  <c r="F428" i="1" s="1"/>
  <c r="F438" i="1"/>
  <c r="F434" i="1"/>
  <c r="F432" i="1"/>
  <c r="P435" i="1"/>
  <c r="F430" i="1" s="1"/>
  <c r="F374" i="1"/>
  <c r="Q366" i="1" s="1"/>
  <c r="Q367" i="1" s="1"/>
  <c r="F177" i="1"/>
  <c r="Q169" i="1" s="1"/>
  <c r="Q170" i="1" s="1"/>
  <c r="AR146" i="1"/>
  <c r="AR145" i="1"/>
  <c r="AZ145" i="1" s="1"/>
  <c r="BB147" i="1" s="1"/>
  <c r="AR139" i="1" s="1"/>
  <c r="AA189" i="1"/>
  <c r="AH190" i="1" s="1"/>
  <c r="AI207" i="1" s="1"/>
  <c r="AA187" i="1"/>
  <c r="AH191" i="1" s="1"/>
  <c r="AI206" i="1" s="1"/>
  <c r="Y191" i="1"/>
  <c r="Y190" i="1"/>
  <c r="AG190" i="1" s="1"/>
  <c r="AI192" i="1" s="1"/>
  <c r="AA207" i="1" s="1"/>
  <c r="AT391" i="1"/>
  <c r="BA392" i="1" s="1"/>
  <c r="AZ360" i="1" s="1"/>
  <c r="AT389" i="1"/>
  <c r="BA393" i="1" s="1"/>
  <c r="AZ361" i="1" s="1"/>
  <c r="AR393" i="1"/>
  <c r="AR392" i="1"/>
  <c r="AZ392" i="1" s="1"/>
  <c r="BB394" i="1" s="1"/>
  <c r="AQ361" i="1" s="1"/>
  <c r="BV428" i="1"/>
  <c r="BU411" i="1"/>
  <c r="BM428" i="1" s="1"/>
  <c r="BK415" i="1"/>
  <c r="BU413" i="1"/>
  <c r="BM427" i="1" s="1"/>
  <c r="BU412" i="1"/>
  <c r="BM430" i="1" s="1"/>
  <c r="BK411" i="1"/>
  <c r="BK409" i="1"/>
  <c r="AR439" i="1"/>
  <c r="AQ439" i="1" s="1"/>
  <c r="BK146" i="1"/>
  <c r="BK145" i="1"/>
  <c r="BS145" i="1" s="1"/>
  <c r="BU147" i="1" s="1"/>
  <c r="BK139" i="1" s="1"/>
  <c r="Y242" i="1"/>
  <c r="X242" i="1" s="1"/>
  <c r="AR171" i="1"/>
  <c r="AR170" i="1"/>
  <c r="AZ170" i="1" s="1"/>
  <c r="BB172" i="1" s="1"/>
  <c r="AQ139" i="1" s="1"/>
  <c r="AT411" i="1"/>
  <c r="BA412" i="1" s="1"/>
  <c r="BB429" i="1" s="1"/>
  <c r="AT409" i="1"/>
  <c r="BA413" i="1" s="1"/>
  <c r="BB428" i="1" s="1"/>
  <c r="AR413" i="1"/>
  <c r="AR412" i="1"/>
  <c r="AZ412" i="1" s="1"/>
  <c r="BB414" i="1" s="1"/>
  <c r="AT429" i="1" s="1"/>
  <c r="H189" i="1"/>
  <c r="O190" i="1" s="1"/>
  <c r="P207" i="1" s="1"/>
  <c r="H187" i="1"/>
  <c r="O191" i="1" s="1"/>
  <c r="P206" i="1" s="1"/>
  <c r="F191" i="1"/>
  <c r="F190" i="1"/>
  <c r="N190" i="1" s="1"/>
  <c r="P192" i="1" s="1"/>
  <c r="H207" i="1" s="1"/>
  <c r="BK463" i="1"/>
  <c r="BU459" i="1"/>
  <c r="BJ428" i="1" s="1"/>
  <c r="BK457" i="1"/>
  <c r="BK459" i="1"/>
  <c r="BU461" i="1"/>
  <c r="BJ427" i="1" s="1"/>
  <c r="BU460" i="1"/>
  <c r="BJ430" i="1" s="1"/>
  <c r="C217" i="1"/>
  <c r="C224" i="1" s="1"/>
  <c r="F220" i="1" s="1"/>
  <c r="Q212" i="1" s="1"/>
  <c r="Q213" i="1" s="1"/>
  <c r="P122" i="1"/>
  <c r="H140" i="1" s="1"/>
  <c r="P123" i="1"/>
  <c r="H137" i="1" s="1"/>
  <c r="P121" i="1"/>
  <c r="H138" i="1" s="1"/>
  <c r="F125" i="1"/>
  <c r="F121" i="1"/>
  <c r="F119" i="1"/>
  <c r="BH371" i="1"/>
  <c r="BH378" i="1" s="1"/>
  <c r="BK374" i="1" s="1"/>
  <c r="BV366" i="1" s="1"/>
  <c r="BV367" i="1" s="1"/>
  <c r="V174" i="1"/>
  <c r="V181" i="1" s="1"/>
  <c r="Y177" i="1" s="1"/>
  <c r="AJ169" i="1" s="1"/>
  <c r="AJ170" i="1" s="1"/>
  <c r="BD138" i="1"/>
  <c r="V396" i="1"/>
  <c r="V403" i="1" s="1"/>
  <c r="Y399" i="1" s="1"/>
  <c r="AJ391" i="1" s="1"/>
  <c r="AJ392" i="1" s="1"/>
  <c r="AQ464" i="1"/>
  <c r="BV217" i="1"/>
  <c r="BV220" i="1" s="1"/>
  <c r="BV221" i="1" s="1"/>
  <c r="BV222" i="1" s="1"/>
  <c r="BV206" i="1" s="1"/>
  <c r="BV210" i="1"/>
  <c r="AR241" i="1"/>
  <c r="BB239" i="1"/>
  <c r="AQ205" i="1" s="1"/>
  <c r="AR235" i="1"/>
  <c r="BB238" i="1"/>
  <c r="AQ208" i="1" s="1"/>
  <c r="BB237" i="1"/>
  <c r="AQ206" i="1" s="1"/>
  <c r="AR237" i="1"/>
  <c r="P145" i="1"/>
  <c r="F140" i="1" s="1"/>
  <c r="F148" i="1"/>
  <c r="P146" i="1"/>
  <c r="F137" i="1" s="1"/>
  <c r="P144" i="1"/>
  <c r="F138" i="1" s="1"/>
  <c r="F144" i="1"/>
  <c r="F142" i="1"/>
  <c r="BK193" i="1"/>
  <c r="BK189" i="1"/>
  <c r="BU191" i="1"/>
  <c r="BM205" i="1" s="1"/>
  <c r="BU190" i="1"/>
  <c r="BM208" i="1" s="1"/>
  <c r="BU189" i="1"/>
  <c r="BM206" i="1" s="1"/>
  <c r="BK187" i="1"/>
  <c r="BK438" i="1"/>
  <c r="BU436" i="1"/>
  <c r="BK427" i="1" s="1"/>
  <c r="BU435" i="1"/>
  <c r="BK430" i="1" s="1"/>
  <c r="BU434" i="1"/>
  <c r="BK428" i="1" s="1"/>
  <c r="BK432" i="1"/>
  <c r="BK434" i="1"/>
  <c r="BD126" i="1" l="1"/>
  <c r="Q217" i="1"/>
  <c r="Q220" i="1" s="1"/>
  <c r="Q221" i="1" s="1"/>
  <c r="Q222" i="1" s="1"/>
  <c r="Q210" i="1"/>
  <c r="BV371" i="1"/>
  <c r="BV374" i="1" s="1"/>
  <c r="BV375" i="1" s="1"/>
  <c r="BV376" i="1" s="1"/>
  <c r="BV364" i="1"/>
  <c r="BV174" i="1"/>
  <c r="BV177" i="1" s="1"/>
  <c r="BV178" i="1" s="1"/>
  <c r="BV179" i="1" s="1"/>
  <c r="BV167" i="1"/>
  <c r="F146" i="1"/>
  <c r="F145" i="1"/>
  <c r="N145" i="1" s="1"/>
  <c r="P147" i="1" s="1"/>
  <c r="F139" i="1" s="1"/>
  <c r="H121" i="1"/>
  <c r="O122" i="1" s="1"/>
  <c r="P139" i="1" s="1"/>
  <c r="H119" i="1"/>
  <c r="O123" i="1" s="1"/>
  <c r="P138" i="1" s="1"/>
  <c r="AJ396" i="1"/>
  <c r="AJ399" i="1" s="1"/>
  <c r="AJ400" i="1" s="1"/>
  <c r="AJ401" i="1" s="1"/>
  <c r="AJ389" i="1"/>
  <c r="BM187" i="1"/>
  <c r="BT191" i="1" s="1"/>
  <c r="BU206" i="1" s="1"/>
  <c r="BM189" i="1"/>
  <c r="BT190" i="1" s="1"/>
  <c r="BU207" i="1" s="1"/>
  <c r="AT237" i="1"/>
  <c r="BA238" i="1" s="1"/>
  <c r="AZ206" i="1" s="1"/>
  <c r="AT235" i="1"/>
  <c r="BA239" i="1" s="1"/>
  <c r="AZ207" i="1" s="1"/>
  <c r="BK216" i="1"/>
  <c r="BK212" i="1"/>
  <c r="BU214" i="1"/>
  <c r="BK205" i="1" s="1"/>
  <c r="BU213" i="1"/>
  <c r="BK208" i="1" s="1"/>
  <c r="BU212" i="1"/>
  <c r="BK206" i="1" s="1"/>
  <c r="BK210" i="1"/>
  <c r="BE138" i="1"/>
  <c r="BE139" i="1" s="1"/>
  <c r="BD134" i="1"/>
  <c r="BC134" i="1" s="1"/>
  <c r="BK461" i="1"/>
  <c r="BK460" i="1"/>
  <c r="BS460" i="1" s="1"/>
  <c r="BU462" i="1" s="1"/>
  <c r="BJ429" i="1" s="1"/>
  <c r="Q174" i="1"/>
  <c r="Q177" i="1" s="1"/>
  <c r="Q178" i="1" s="1"/>
  <c r="Q179" i="1" s="1"/>
  <c r="Q167" i="1"/>
  <c r="H434" i="1"/>
  <c r="O435" i="1" s="1"/>
  <c r="O428" i="1" s="1"/>
  <c r="H432" i="1"/>
  <c r="O436" i="1" s="1"/>
  <c r="O429" i="1" s="1"/>
  <c r="BD139" i="1"/>
  <c r="BD135" i="1" s="1"/>
  <c r="AR214" i="1"/>
  <c r="AR213" i="1"/>
  <c r="AZ213" i="1" s="1"/>
  <c r="BB215" i="1" s="1"/>
  <c r="AR207" i="1" s="1"/>
  <c r="C242" i="1"/>
  <c r="C249" i="1" s="1"/>
  <c r="F245" i="1" s="1"/>
  <c r="Q237" i="1" s="1"/>
  <c r="Q238" i="1" s="1"/>
  <c r="Y457" i="1"/>
  <c r="AI461" i="1"/>
  <c r="X427" i="1" s="1"/>
  <c r="AI459" i="1"/>
  <c r="X428" i="1" s="1"/>
  <c r="Y463" i="1"/>
  <c r="AI460" i="1"/>
  <c r="X430" i="1" s="1"/>
  <c r="Y459" i="1"/>
  <c r="BK436" i="1"/>
  <c r="BK435" i="1"/>
  <c r="BS435" i="1" s="1"/>
  <c r="BU437" i="1" s="1"/>
  <c r="BK429" i="1" s="1"/>
  <c r="BK413" i="1"/>
  <c r="BK412" i="1"/>
  <c r="BS412" i="1" s="1"/>
  <c r="BU414" i="1" s="1"/>
  <c r="BM429" i="1" s="1"/>
  <c r="BV396" i="1"/>
  <c r="BV399" i="1" s="1"/>
  <c r="BV400" i="1" s="1"/>
  <c r="BV401" i="1" s="1"/>
  <c r="BV389" i="1"/>
  <c r="F123" i="1"/>
  <c r="F122" i="1"/>
  <c r="N122" i="1" s="1"/>
  <c r="P124" i="1" s="1"/>
  <c r="H139" i="1" s="1"/>
  <c r="BT427" i="1"/>
  <c r="BV429" i="1"/>
  <c r="BU427" i="1"/>
  <c r="Q371" i="1"/>
  <c r="Q374" i="1" s="1"/>
  <c r="Q375" i="1" s="1"/>
  <c r="Q376" i="1" s="1"/>
  <c r="Q364" i="1"/>
  <c r="BA205" i="1"/>
  <c r="BC207" i="1"/>
  <c r="BB205" i="1"/>
  <c r="AI368" i="1"/>
  <c r="Y359" i="1" s="1"/>
  <c r="Y370" i="1"/>
  <c r="AI367" i="1"/>
  <c r="Y362" i="1" s="1"/>
  <c r="Y366" i="1"/>
  <c r="AI366" i="1"/>
  <c r="Y360" i="1" s="1"/>
  <c r="Y364" i="1"/>
  <c r="AJ360" i="1"/>
  <c r="F459" i="1"/>
  <c r="F457" i="1"/>
  <c r="P460" i="1"/>
  <c r="E430" i="1" s="1"/>
  <c r="F463" i="1"/>
  <c r="P461" i="1"/>
  <c r="E427" i="1" s="1"/>
  <c r="P459" i="1"/>
  <c r="E428" i="1" s="1"/>
  <c r="F393" i="1"/>
  <c r="F392" i="1"/>
  <c r="N392" i="1" s="1"/>
  <c r="P394" i="1" s="1"/>
  <c r="E361" i="1" s="1"/>
  <c r="AI146" i="1"/>
  <c r="Y137" i="1" s="1"/>
  <c r="AI144" i="1"/>
  <c r="Y138" i="1" s="1"/>
  <c r="Y148" i="1"/>
  <c r="AI145" i="1"/>
  <c r="Y140" i="1" s="1"/>
  <c r="Y144" i="1"/>
  <c r="Y142" i="1"/>
  <c r="BM432" i="1"/>
  <c r="BT436" i="1" s="1"/>
  <c r="BT429" i="1" s="1"/>
  <c r="BM434" i="1"/>
  <c r="BT435" i="1" s="1"/>
  <c r="BT428" i="1" s="1"/>
  <c r="H144" i="1"/>
  <c r="O145" i="1" s="1"/>
  <c r="O138" i="1" s="1"/>
  <c r="H142" i="1"/>
  <c r="O146" i="1" s="1"/>
  <c r="O139" i="1" s="1"/>
  <c r="BM411" i="1"/>
  <c r="BT412" i="1" s="1"/>
  <c r="BU429" i="1" s="1"/>
  <c r="BM409" i="1"/>
  <c r="BT413" i="1" s="1"/>
  <c r="BU428" i="1" s="1"/>
  <c r="AJ167" i="1"/>
  <c r="AJ174" i="1"/>
  <c r="AJ177" i="1" s="1"/>
  <c r="AJ178" i="1" s="1"/>
  <c r="AJ179" i="1" s="1"/>
  <c r="AJ138" i="1" s="1"/>
  <c r="BU205" i="1"/>
  <c r="BV207" i="1"/>
  <c r="BT205" i="1"/>
  <c r="BK191" i="1"/>
  <c r="BK190" i="1"/>
  <c r="BS190" i="1" s="1"/>
  <c r="BU192" i="1" s="1"/>
  <c r="BM207" i="1" s="1"/>
  <c r="AR239" i="1"/>
  <c r="AR238" i="1"/>
  <c r="AZ238" i="1" s="1"/>
  <c r="BB240" i="1" s="1"/>
  <c r="AQ207" i="1" s="1"/>
  <c r="BM459" i="1"/>
  <c r="BT460" i="1" s="1"/>
  <c r="BS428" i="1" s="1"/>
  <c r="BM457" i="1"/>
  <c r="BT461" i="1" s="1"/>
  <c r="BS429" i="1" s="1"/>
  <c r="V242" i="1"/>
  <c r="V249" i="1" s="1"/>
  <c r="Y245" i="1" s="1"/>
  <c r="AJ237" i="1" s="1"/>
  <c r="AJ238" i="1" s="1"/>
  <c r="AO439" i="1"/>
  <c r="AO446" i="1" s="1"/>
  <c r="AR442" i="1" s="1"/>
  <c r="BC434" i="1" s="1"/>
  <c r="BC435" i="1" s="1"/>
  <c r="Q429" i="1"/>
  <c r="P427" i="1"/>
  <c r="O427" i="1"/>
  <c r="F436" i="1"/>
  <c r="F435" i="1"/>
  <c r="N435" i="1" s="1"/>
  <c r="P437" i="1" s="1"/>
  <c r="F429" i="1" s="1"/>
  <c r="AI214" i="1"/>
  <c r="Y205" i="1" s="1"/>
  <c r="AI212" i="1"/>
  <c r="Y206" i="1" s="1"/>
  <c r="Y216" i="1"/>
  <c r="AI213" i="1"/>
  <c r="Y208" i="1" s="1"/>
  <c r="Y212" i="1"/>
  <c r="Y210" i="1"/>
  <c r="AT212" i="1"/>
  <c r="BA213" i="1" s="1"/>
  <c r="BA206" i="1" s="1"/>
  <c r="AT210" i="1"/>
  <c r="BA214" i="1" s="1"/>
  <c r="BA207" i="1" s="1"/>
  <c r="AO464" i="1"/>
  <c r="AO471" i="1" s="1"/>
  <c r="AR467" i="1" s="1"/>
  <c r="BC459" i="1" s="1"/>
  <c r="BC460" i="1" s="1"/>
  <c r="H391" i="1"/>
  <c r="O392" i="1" s="1"/>
  <c r="N360" i="1" s="1"/>
  <c r="H389" i="1"/>
  <c r="O393" i="1" s="1"/>
  <c r="N361" i="1" s="1"/>
  <c r="AI434" i="1"/>
  <c r="Y428" i="1" s="1"/>
  <c r="Y438" i="1"/>
  <c r="AI435" i="1"/>
  <c r="Y430" i="1" s="1"/>
  <c r="Y434" i="1"/>
  <c r="Y432" i="1"/>
  <c r="AI436" i="1"/>
  <c r="Y427" i="1" s="1"/>
  <c r="AJ428" i="1"/>
  <c r="BU237" i="1"/>
  <c r="BJ206" i="1" s="1"/>
  <c r="BK235" i="1"/>
  <c r="BK241" i="1"/>
  <c r="BK237" i="1"/>
  <c r="BU239" i="1"/>
  <c r="BJ205" i="1" s="1"/>
  <c r="BU238" i="1"/>
  <c r="BJ208" i="1" s="1"/>
  <c r="AR370" i="1"/>
  <c r="BB368" i="1"/>
  <c r="AR359" i="1" s="1"/>
  <c r="BB367" i="1"/>
  <c r="AR362" i="1" s="1"/>
  <c r="BB366" i="1"/>
  <c r="AR360" i="1" s="1"/>
  <c r="AR364" i="1"/>
  <c r="AR366" i="1"/>
  <c r="BC360" i="1"/>
  <c r="BC464" i="1" l="1"/>
  <c r="BC467" i="1" s="1"/>
  <c r="BC468" i="1" s="1"/>
  <c r="BC469" i="1" s="1"/>
  <c r="BC457" i="1"/>
  <c r="BC439" i="1"/>
  <c r="BC442" i="1" s="1"/>
  <c r="BC443" i="1" s="1"/>
  <c r="BC444" i="1" s="1"/>
  <c r="BC432" i="1"/>
  <c r="AJ242" i="1"/>
  <c r="AJ245" i="1" s="1"/>
  <c r="AJ246" i="1" s="1"/>
  <c r="AJ247" i="1" s="1"/>
  <c r="AJ235" i="1"/>
  <c r="BM237" i="1"/>
  <c r="BT238" i="1" s="1"/>
  <c r="BS206" i="1" s="1"/>
  <c r="BM235" i="1"/>
  <c r="BT239" i="1" s="1"/>
  <c r="BS207" i="1" s="1"/>
  <c r="BD205" i="1"/>
  <c r="BD207" i="1"/>
  <c r="Y146" i="1"/>
  <c r="Y145" i="1"/>
  <c r="AG145" i="1" s="1"/>
  <c r="AI147" i="1" s="1"/>
  <c r="Y139" i="1" s="1"/>
  <c r="Y368" i="1"/>
  <c r="Y367" i="1"/>
  <c r="AG367" i="1" s="1"/>
  <c r="AI369" i="1" s="1"/>
  <c r="Y361" i="1" s="1"/>
  <c r="BK395" i="1"/>
  <c r="BU393" i="1"/>
  <c r="BJ359" i="1" s="1"/>
  <c r="BU392" i="1"/>
  <c r="BJ362" i="1" s="1"/>
  <c r="BK389" i="1"/>
  <c r="BK391" i="1"/>
  <c r="BU391" i="1"/>
  <c r="BJ360" i="1" s="1"/>
  <c r="AA459" i="1"/>
  <c r="AH460" i="1" s="1"/>
  <c r="AG428" i="1" s="1"/>
  <c r="AA457" i="1"/>
  <c r="AH461" i="1" s="1"/>
  <c r="AG429" i="1" s="1"/>
  <c r="BC361" i="1"/>
  <c r="BB359" i="1"/>
  <c r="BA359" i="1"/>
  <c r="BD204" i="1"/>
  <c r="BD206" i="1"/>
  <c r="Q242" i="1"/>
  <c r="Q245" i="1" s="1"/>
  <c r="Q246" i="1" s="1"/>
  <c r="Q247" i="1" s="1"/>
  <c r="Q206" i="1" s="1"/>
  <c r="Q235" i="1"/>
  <c r="BW429" i="1"/>
  <c r="BW427" i="1"/>
  <c r="AA144" i="1"/>
  <c r="AH145" i="1" s="1"/>
  <c r="AH138" i="1" s="1"/>
  <c r="AA142" i="1"/>
  <c r="AH146" i="1" s="1"/>
  <c r="AH139" i="1" s="1"/>
  <c r="H459" i="1"/>
  <c r="O460" i="1" s="1"/>
  <c r="N428" i="1" s="1"/>
  <c r="R426" i="1" s="1"/>
  <c r="H457" i="1"/>
  <c r="O461" i="1" s="1"/>
  <c r="N429" i="1" s="1"/>
  <c r="Y461" i="1"/>
  <c r="Y460" i="1"/>
  <c r="AG460" i="1" s="1"/>
  <c r="AI462" i="1" s="1"/>
  <c r="X429" i="1" s="1"/>
  <c r="P170" i="1"/>
  <c r="E140" i="1" s="1"/>
  <c r="F173" i="1"/>
  <c r="P171" i="1"/>
  <c r="E137" i="1" s="1"/>
  <c r="P169" i="1"/>
  <c r="E138" i="1" s="1"/>
  <c r="F169" i="1"/>
  <c r="F167" i="1"/>
  <c r="Q138" i="1"/>
  <c r="BC135" i="1"/>
  <c r="BK214" i="1"/>
  <c r="BK213" i="1"/>
  <c r="BS213" i="1" s="1"/>
  <c r="BU215" i="1" s="1"/>
  <c r="BK207" i="1" s="1"/>
  <c r="BU366" i="1"/>
  <c r="BK360" i="1" s="1"/>
  <c r="BK370" i="1"/>
  <c r="BK366" i="1"/>
  <c r="BU368" i="1"/>
  <c r="BK359" i="1" s="1"/>
  <c r="BU367" i="1"/>
  <c r="BK362" i="1" s="1"/>
  <c r="BK364" i="1"/>
  <c r="BV360" i="1"/>
  <c r="BM210" i="1"/>
  <c r="BT214" i="1" s="1"/>
  <c r="BT207" i="1" s="1"/>
  <c r="BW205" i="1" s="1"/>
  <c r="BM212" i="1"/>
  <c r="BT213" i="1" s="1"/>
  <c r="BT206" i="1" s="1"/>
  <c r="BW204" i="1" s="1"/>
  <c r="AJ429" i="1"/>
  <c r="AI427" i="1"/>
  <c r="AH427" i="1"/>
  <c r="Y214" i="1"/>
  <c r="Y213" i="1"/>
  <c r="AG213" i="1" s="1"/>
  <c r="AI215" i="1" s="1"/>
  <c r="Y207" i="1" s="1"/>
  <c r="BD194" i="1"/>
  <c r="P367" i="1"/>
  <c r="F362" i="1" s="1"/>
  <c r="F370" i="1"/>
  <c r="P368" i="1"/>
  <c r="F359" i="1" s="1"/>
  <c r="P366" i="1"/>
  <c r="F360" i="1" s="1"/>
  <c r="F366" i="1"/>
  <c r="F364" i="1"/>
  <c r="Q360" i="1"/>
  <c r="R427" i="1"/>
  <c r="R429" i="1"/>
  <c r="BC136" i="1"/>
  <c r="AA434" i="1"/>
  <c r="AH435" i="1" s="1"/>
  <c r="AH428" i="1" s="1"/>
  <c r="AA432" i="1"/>
  <c r="AH436" i="1" s="1"/>
  <c r="AH429" i="1" s="1"/>
  <c r="BW426" i="1"/>
  <c r="BW428" i="1"/>
  <c r="AJ139" i="1"/>
  <c r="AI137" i="1"/>
  <c r="AH137" i="1"/>
  <c r="AA364" i="1"/>
  <c r="AH368" i="1" s="1"/>
  <c r="AH361" i="1" s="1"/>
  <c r="AA366" i="1"/>
  <c r="AH367" i="1" s="1"/>
  <c r="AH360" i="1" s="1"/>
  <c r="AT364" i="1"/>
  <c r="BA368" i="1" s="1"/>
  <c r="BA361" i="1" s="1"/>
  <c r="AT366" i="1"/>
  <c r="BA367" i="1" s="1"/>
  <c r="BA360" i="1" s="1"/>
  <c r="AR368" i="1"/>
  <c r="AR367" i="1"/>
  <c r="AZ367" i="1" s="1"/>
  <c r="BB369" i="1" s="1"/>
  <c r="AR361" i="1" s="1"/>
  <c r="BK239" i="1"/>
  <c r="BK238" i="1"/>
  <c r="BS238" i="1" s="1"/>
  <c r="BU240" i="1" s="1"/>
  <c r="BJ207" i="1" s="1"/>
  <c r="Y436" i="1"/>
  <c r="Y435" i="1"/>
  <c r="AG435" i="1" s="1"/>
  <c r="AI437" i="1" s="1"/>
  <c r="Y429" i="1" s="1"/>
  <c r="AA212" i="1"/>
  <c r="AH213" i="1" s="1"/>
  <c r="AH206" i="1" s="1"/>
  <c r="AA210" i="1"/>
  <c r="AH214" i="1" s="1"/>
  <c r="AH207" i="1" s="1"/>
  <c r="AI171" i="1"/>
  <c r="X137" i="1" s="1"/>
  <c r="AI169" i="1"/>
  <c r="X138" i="1" s="1"/>
  <c r="Y173" i="1"/>
  <c r="AI170" i="1"/>
  <c r="X140" i="1" s="1"/>
  <c r="Y169" i="1"/>
  <c r="Y167" i="1"/>
  <c r="F461" i="1"/>
  <c r="F460" i="1"/>
  <c r="N460" i="1" s="1"/>
  <c r="P462" i="1" s="1"/>
  <c r="E429" i="1" s="1"/>
  <c r="AH359" i="1"/>
  <c r="AJ361" i="1"/>
  <c r="AI359" i="1"/>
  <c r="BW416" i="1"/>
  <c r="R428" i="1"/>
  <c r="AO139" i="1"/>
  <c r="AO140" i="1"/>
  <c r="AP137" i="1"/>
  <c r="AO138" i="1"/>
  <c r="AO137" i="1"/>
  <c r="AI393" i="1"/>
  <c r="X359" i="1" s="1"/>
  <c r="Y395" i="1"/>
  <c r="AI392" i="1"/>
  <c r="X362" i="1" s="1"/>
  <c r="Y391" i="1"/>
  <c r="Y389" i="1"/>
  <c r="AI391" i="1"/>
  <c r="X360" i="1" s="1"/>
  <c r="BK173" i="1"/>
  <c r="BK169" i="1"/>
  <c r="BU171" i="1"/>
  <c r="BJ137" i="1" s="1"/>
  <c r="BU170" i="1"/>
  <c r="BJ140" i="1" s="1"/>
  <c r="BU169" i="1"/>
  <c r="BJ138" i="1" s="1"/>
  <c r="BK167" i="1"/>
  <c r="BV138" i="1"/>
  <c r="P213" i="1"/>
  <c r="F208" i="1" s="1"/>
  <c r="F216" i="1"/>
  <c r="P214" i="1"/>
  <c r="F205" i="1" s="1"/>
  <c r="P212" i="1"/>
  <c r="F206" i="1" s="1"/>
  <c r="F212" i="1"/>
  <c r="F210" i="1"/>
  <c r="BW425" i="1" l="1"/>
  <c r="R416" i="1"/>
  <c r="BW206" i="1"/>
  <c r="BW207" i="1"/>
  <c r="BW203" i="1" s="1"/>
  <c r="Y171" i="1"/>
  <c r="Y170" i="1"/>
  <c r="AG170" i="1" s="1"/>
  <c r="AI172" i="1" s="1"/>
  <c r="X139" i="1" s="1"/>
  <c r="BK393" i="1"/>
  <c r="BK392" i="1"/>
  <c r="BS392" i="1" s="1"/>
  <c r="BU394" i="1" s="1"/>
  <c r="BJ361" i="1" s="1"/>
  <c r="H212" i="1"/>
  <c r="O213" i="1" s="1"/>
  <c r="O206" i="1" s="1"/>
  <c r="H210" i="1"/>
  <c r="O214" i="1" s="1"/>
  <c r="O207" i="1" s="1"/>
  <c r="F214" i="1"/>
  <c r="F213" i="1"/>
  <c r="N213" i="1" s="1"/>
  <c r="P215" i="1" s="1"/>
  <c r="F207" i="1" s="1"/>
  <c r="BK171" i="1"/>
  <c r="BK170" i="1"/>
  <c r="BS170" i="1" s="1"/>
  <c r="BU172" i="1" s="1"/>
  <c r="BJ139" i="1" s="1"/>
  <c r="S428" i="1"/>
  <c r="S429" i="1" s="1"/>
  <c r="R424" i="1"/>
  <c r="Q424" i="1" s="1"/>
  <c r="Q426" i="1"/>
  <c r="Q425" i="1"/>
  <c r="AA169" i="1"/>
  <c r="AH170" i="1" s="1"/>
  <c r="AG138" i="1" s="1"/>
  <c r="AK136" i="1" s="1"/>
  <c r="AA167" i="1"/>
  <c r="AH171" i="1" s="1"/>
  <c r="AG139" i="1" s="1"/>
  <c r="AK139" i="1" s="1"/>
  <c r="AK426" i="1"/>
  <c r="AK428" i="1"/>
  <c r="Q361" i="1"/>
  <c r="P359" i="1"/>
  <c r="O359" i="1"/>
  <c r="BW194" i="1"/>
  <c r="AK416" i="1"/>
  <c r="P137" i="1"/>
  <c r="Q139" i="1"/>
  <c r="O137" i="1"/>
  <c r="F237" i="1"/>
  <c r="F235" i="1"/>
  <c r="P238" i="1"/>
  <c r="E208" i="1" s="1"/>
  <c r="F241" i="1"/>
  <c r="P239" i="1"/>
  <c r="E205" i="1" s="1"/>
  <c r="P237" i="1"/>
  <c r="E206" i="1" s="1"/>
  <c r="BD348" i="1"/>
  <c r="BM391" i="1"/>
  <c r="BT392" i="1" s="1"/>
  <c r="BS360" i="1" s="1"/>
  <c r="BM389" i="1"/>
  <c r="BT393" i="1" s="1"/>
  <c r="BS361" i="1" s="1"/>
  <c r="AR438" i="1"/>
  <c r="AR434" i="1"/>
  <c r="BB436" i="1"/>
  <c r="AR427" i="1" s="1"/>
  <c r="AR432" i="1"/>
  <c r="BB435" i="1"/>
  <c r="AR430" i="1" s="1"/>
  <c r="BB434" i="1"/>
  <c r="AR428" i="1" s="1"/>
  <c r="BC428" i="1"/>
  <c r="BK368" i="1"/>
  <c r="BK367" i="1"/>
  <c r="BS367" i="1" s="1"/>
  <c r="BU369" i="1" s="1"/>
  <c r="BK361" i="1" s="1"/>
  <c r="BX206" i="1"/>
  <c r="BX207" i="1" s="1"/>
  <c r="BW202" i="1"/>
  <c r="BV202" i="1" s="1"/>
  <c r="BV204" i="1"/>
  <c r="BV203" i="1"/>
  <c r="Y393" i="1"/>
  <c r="Y392" i="1"/>
  <c r="AG392" i="1" s="1"/>
  <c r="AI394" i="1" s="1"/>
  <c r="X361" i="1" s="1"/>
  <c r="BX428" i="1"/>
  <c r="BX429" i="1" s="1"/>
  <c r="BW424" i="1"/>
  <c r="BV424" i="1" s="1"/>
  <c r="BV426" i="1"/>
  <c r="BV425" i="1"/>
  <c r="H366" i="1"/>
  <c r="O367" i="1" s="1"/>
  <c r="O360" i="1" s="1"/>
  <c r="H364" i="1"/>
  <c r="O368" i="1" s="1"/>
  <c r="O361" i="1" s="1"/>
  <c r="F368" i="1"/>
  <c r="F367" i="1"/>
  <c r="N367" i="1" s="1"/>
  <c r="P369" i="1" s="1"/>
  <c r="F361" i="1" s="1"/>
  <c r="H169" i="1"/>
  <c r="O170" i="1" s="1"/>
  <c r="N138" i="1" s="1"/>
  <c r="H167" i="1"/>
  <c r="O171" i="1" s="1"/>
  <c r="N139" i="1" s="1"/>
  <c r="F171" i="1"/>
  <c r="F170" i="1"/>
  <c r="N170" i="1" s="1"/>
  <c r="P172" i="1" s="1"/>
  <c r="E139" i="1" s="1"/>
  <c r="BC204" i="1"/>
  <c r="BC203" i="1"/>
  <c r="BE206" i="1"/>
  <c r="BE207" i="1" s="1"/>
  <c r="BD202" i="1"/>
  <c r="BC202" i="1" s="1"/>
  <c r="BD203" i="1"/>
  <c r="Q207" i="1"/>
  <c r="P205" i="1"/>
  <c r="O205" i="1"/>
  <c r="BM167" i="1"/>
  <c r="BT171" i="1" s="1"/>
  <c r="BS139" i="1" s="1"/>
  <c r="BM169" i="1"/>
  <c r="BT170" i="1" s="1"/>
  <c r="BS138" i="1" s="1"/>
  <c r="BD361" i="1"/>
  <c r="BD359" i="1"/>
  <c r="AK429" i="1"/>
  <c r="AK427" i="1"/>
  <c r="BM366" i="1"/>
  <c r="BT367" i="1" s="1"/>
  <c r="BT360" i="1" s="1"/>
  <c r="BM364" i="1"/>
  <c r="BT368" i="1" s="1"/>
  <c r="BT361" i="1" s="1"/>
  <c r="BV139" i="1"/>
  <c r="BT137" i="1"/>
  <c r="BU137" i="1"/>
  <c r="AA391" i="1"/>
  <c r="AH392" i="1" s="1"/>
  <c r="AG360" i="1" s="1"/>
  <c r="AK358" i="1" s="1"/>
  <c r="AA389" i="1"/>
  <c r="AH393" i="1" s="1"/>
  <c r="AG361" i="1" s="1"/>
  <c r="AK359" i="1" s="1"/>
  <c r="BD360" i="1"/>
  <c r="BD358" i="1"/>
  <c r="R425" i="1"/>
  <c r="BU359" i="1"/>
  <c r="BV361" i="1"/>
  <c r="BT359" i="1"/>
  <c r="Y235" i="1"/>
  <c r="AI239" i="1"/>
  <c r="X205" i="1" s="1"/>
  <c r="AI237" i="1"/>
  <c r="X206" i="1" s="1"/>
  <c r="Y241" i="1"/>
  <c r="AI238" i="1"/>
  <c r="X208" i="1" s="1"/>
  <c r="Y237" i="1"/>
  <c r="AJ206" i="1"/>
  <c r="BB461" i="1"/>
  <c r="AQ427" i="1" s="1"/>
  <c r="AR457" i="1"/>
  <c r="AR463" i="1"/>
  <c r="BB460" i="1"/>
  <c r="AQ430" i="1" s="1"/>
  <c r="BB459" i="1"/>
  <c r="AQ428" i="1" s="1"/>
  <c r="AR459" i="1"/>
  <c r="AK138" i="1" l="1"/>
  <c r="AK137" i="1"/>
  <c r="AK135" i="1" s="1"/>
  <c r="AK126" i="1"/>
  <c r="AK348" i="1"/>
  <c r="H237" i="1"/>
  <c r="O238" i="1" s="1"/>
  <c r="N206" i="1" s="1"/>
  <c r="R204" i="1" s="1"/>
  <c r="H235" i="1"/>
  <c r="O239" i="1" s="1"/>
  <c r="N207" i="1" s="1"/>
  <c r="AL428" i="1"/>
  <c r="AL429" i="1" s="1"/>
  <c r="AK424" i="1"/>
  <c r="AJ424" i="1" s="1"/>
  <c r="AJ426" i="1"/>
  <c r="AJ425" i="1"/>
  <c r="Y239" i="1"/>
  <c r="Y238" i="1"/>
  <c r="AG238" i="1" s="1"/>
  <c r="AI240" i="1" s="1"/>
  <c r="X207" i="1" s="1"/>
  <c r="AK425" i="1"/>
  <c r="AO207" i="1"/>
  <c r="AO206" i="1"/>
  <c r="AP205" i="1"/>
  <c r="AO208" i="1"/>
  <c r="AO205" i="1"/>
  <c r="AK361" i="1"/>
  <c r="AK357" i="1" s="1"/>
  <c r="BI205" i="1"/>
  <c r="BH208" i="1"/>
  <c r="BH205" i="1"/>
  <c r="BH207" i="1"/>
  <c r="BH206" i="1"/>
  <c r="AT432" i="1"/>
  <c r="BA436" i="1" s="1"/>
  <c r="BA429" i="1" s="1"/>
  <c r="AT434" i="1"/>
  <c r="BA435" i="1" s="1"/>
  <c r="BA428" i="1" s="1"/>
  <c r="C430" i="1"/>
  <c r="D427" i="1"/>
  <c r="C429" i="1"/>
  <c r="C428" i="1"/>
  <c r="C427" i="1"/>
  <c r="AT459" i="1"/>
  <c r="BA460" i="1" s="1"/>
  <c r="AZ428" i="1" s="1"/>
  <c r="AT457" i="1"/>
  <c r="BA461" i="1" s="1"/>
  <c r="AZ429" i="1" s="1"/>
  <c r="BE360" i="1"/>
  <c r="BE361" i="1" s="1"/>
  <c r="BD356" i="1"/>
  <c r="BC356" i="1" s="1"/>
  <c r="BC358" i="1"/>
  <c r="BC357" i="1"/>
  <c r="BW361" i="1"/>
  <c r="BW359" i="1"/>
  <c r="BW136" i="1"/>
  <c r="BW138" i="1"/>
  <c r="R139" i="1"/>
  <c r="R137" i="1"/>
  <c r="R359" i="1"/>
  <c r="R361" i="1"/>
  <c r="BB427" i="1"/>
  <c r="BA427" i="1"/>
  <c r="BC429" i="1"/>
  <c r="F239" i="1"/>
  <c r="F238" i="1"/>
  <c r="N238" i="1" s="1"/>
  <c r="P240" i="1" s="1"/>
  <c r="E207" i="1" s="1"/>
  <c r="AK134" i="1"/>
  <c r="AJ134" i="1" s="1"/>
  <c r="AJ136" i="1"/>
  <c r="AJ135" i="1"/>
  <c r="AL138" i="1"/>
  <c r="AL139" i="1" s="1"/>
  <c r="R126" i="1"/>
  <c r="R348" i="1"/>
  <c r="N347" i="1" s="1"/>
  <c r="AK360" i="1"/>
  <c r="R205" i="1"/>
  <c r="R207" i="1"/>
  <c r="AA237" i="1"/>
  <c r="AH238" i="1" s="1"/>
  <c r="AG206" i="1" s="1"/>
  <c r="AA235" i="1"/>
  <c r="AH239" i="1" s="1"/>
  <c r="AG207" i="1" s="1"/>
  <c r="AR436" i="1"/>
  <c r="AR435" i="1"/>
  <c r="AZ435" i="1" s="1"/>
  <c r="BB437" i="1" s="1"/>
  <c r="AR429" i="1" s="1"/>
  <c r="AI205" i="1"/>
  <c r="AH205" i="1"/>
  <c r="AJ207" i="1"/>
  <c r="AR461" i="1"/>
  <c r="AR460" i="1"/>
  <c r="AZ460" i="1" s="1"/>
  <c r="BB462" i="1" s="1"/>
  <c r="AQ429" i="1" s="1"/>
  <c r="BW348" i="1"/>
  <c r="BW126" i="1"/>
  <c r="AZ125" i="1" s="1"/>
  <c r="BW358" i="1"/>
  <c r="BW360" i="1"/>
  <c r="BD357" i="1"/>
  <c r="BW139" i="1"/>
  <c r="BW137" i="1"/>
  <c r="R136" i="1"/>
  <c r="R138" i="1"/>
  <c r="R358" i="1"/>
  <c r="R360" i="1"/>
  <c r="BH430" i="1"/>
  <c r="BI427" i="1"/>
  <c r="BH427" i="1"/>
  <c r="BH429" i="1"/>
  <c r="BH428" i="1"/>
  <c r="R206" i="1"/>
  <c r="R194" i="1" l="1"/>
  <c r="R135" i="1"/>
  <c r="R357" i="1"/>
  <c r="BW357" i="1"/>
  <c r="BW135" i="1"/>
  <c r="AK194" i="1"/>
  <c r="S360" i="1"/>
  <c r="S361" i="1" s="1"/>
  <c r="R356" i="1"/>
  <c r="Q356" i="1" s="1"/>
  <c r="Q358" i="1"/>
  <c r="Q357" i="1"/>
  <c r="R203" i="1"/>
  <c r="AR61" i="1"/>
  <c r="AR35" i="1" s="1"/>
  <c r="AY32" i="1" s="1"/>
  <c r="E14" i="1" s="1"/>
  <c r="AM61" i="1"/>
  <c r="AW61" i="1"/>
  <c r="V140" i="1"/>
  <c r="V139" i="1"/>
  <c r="V138" i="1"/>
  <c r="W137" i="1"/>
  <c r="V137" i="1"/>
  <c r="BD416" i="1"/>
  <c r="AZ347" i="1" s="1"/>
  <c r="AP359" i="1"/>
  <c r="AO362" i="1"/>
  <c r="AO359" i="1"/>
  <c r="AO361" i="1"/>
  <c r="AO360" i="1"/>
  <c r="BD428" i="1"/>
  <c r="BD426" i="1"/>
  <c r="V427" i="1"/>
  <c r="V430" i="1"/>
  <c r="V429" i="1"/>
  <c r="V428" i="1"/>
  <c r="W427" i="1"/>
  <c r="S138" i="1"/>
  <c r="S139" i="1" s="1"/>
  <c r="Q136" i="1"/>
  <c r="Q135" i="1"/>
  <c r="R134" i="1"/>
  <c r="Q134" i="1" s="1"/>
  <c r="AK205" i="1"/>
  <c r="AK207" i="1"/>
  <c r="AL360" i="1"/>
  <c r="AL361" i="1" s="1"/>
  <c r="AK356" i="1"/>
  <c r="AJ356" i="1" s="1"/>
  <c r="AJ358" i="1"/>
  <c r="AJ357" i="1"/>
  <c r="BX138" i="1"/>
  <c r="BX139" i="1" s="1"/>
  <c r="BW134" i="1"/>
  <c r="BV134" i="1" s="1"/>
  <c r="BV136" i="1"/>
  <c r="BV135" i="1"/>
  <c r="BD429" i="1"/>
  <c r="BD427" i="1"/>
  <c r="Q204" i="1"/>
  <c r="Q203" i="1"/>
  <c r="S206" i="1"/>
  <c r="S207" i="1" s="1"/>
  <c r="R202" i="1"/>
  <c r="Q202" i="1" s="1"/>
  <c r="BX360" i="1"/>
  <c r="BX361" i="1" s="1"/>
  <c r="BW356" i="1"/>
  <c r="BV356" i="1" s="1"/>
  <c r="BV358" i="1"/>
  <c r="BV357" i="1"/>
  <c r="AK206" i="1"/>
  <c r="AK204" i="1"/>
  <c r="A283" i="1"/>
  <c r="K283" i="1"/>
  <c r="F283" i="1"/>
  <c r="F257" i="1" s="1"/>
  <c r="M254" i="1" s="1"/>
  <c r="P14" i="1" s="1"/>
  <c r="N125" i="1" l="1"/>
  <c r="A61" i="1" s="1"/>
  <c r="AL206" i="1"/>
  <c r="AL207" i="1" s="1"/>
  <c r="AK202" i="1"/>
  <c r="AJ202" i="1" s="1"/>
  <c r="AJ204" i="1"/>
  <c r="AJ203" i="1"/>
  <c r="BH362" i="1"/>
  <c r="BH359" i="1"/>
  <c r="BH361" i="1"/>
  <c r="BH360" i="1"/>
  <c r="BI359" i="1"/>
  <c r="C140" i="1"/>
  <c r="C137" i="1"/>
  <c r="C138" i="1"/>
  <c r="C139" i="1"/>
  <c r="D137" i="1"/>
  <c r="AM283" i="1"/>
  <c r="AW283" i="1"/>
  <c r="AR283" i="1"/>
  <c r="AR257" i="1" s="1"/>
  <c r="AY254" i="1" s="1"/>
  <c r="T14" i="1" s="1"/>
  <c r="C208" i="1"/>
  <c r="C207" i="1"/>
  <c r="C206" i="1"/>
  <c r="C205" i="1"/>
  <c r="D205" i="1"/>
  <c r="BD425" i="1"/>
  <c r="BH140" i="1"/>
  <c r="BI137" i="1"/>
  <c r="BH137" i="1"/>
  <c r="BH139" i="1"/>
  <c r="BH138" i="1"/>
  <c r="V361" i="1"/>
  <c r="V360" i="1"/>
  <c r="W359" i="1"/>
  <c r="V362" i="1"/>
  <c r="V359" i="1"/>
  <c r="AK203" i="1"/>
  <c r="BE428" i="1"/>
  <c r="BE429" i="1" s="1"/>
  <c r="BD424" i="1"/>
  <c r="BC424" i="1" s="1"/>
  <c r="BC426" i="1"/>
  <c r="BC425" i="1"/>
  <c r="D359" i="1"/>
  <c r="C362" i="1"/>
  <c r="C361" i="1"/>
  <c r="C360" i="1"/>
  <c r="C359" i="1"/>
  <c r="K61" i="1" l="1"/>
  <c r="F61" i="1"/>
  <c r="F35" i="1" s="1"/>
  <c r="M32" i="1" s="1"/>
  <c r="A14" i="1" s="1"/>
  <c r="AO429" i="1"/>
  <c r="AO428" i="1"/>
  <c r="AP427" i="1"/>
  <c r="AO430" i="1"/>
  <c r="AO427" i="1"/>
  <c r="V207" i="1"/>
  <c r="V206" i="1"/>
  <c r="W205" i="1"/>
  <c r="V208" i="1"/>
  <c r="V205" i="1"/>
</calcChain>
</file>

<file path=xl/comments1.xml><?xml version="1.0" encoding="utf-8"?>
<comments xmlns="http://schemas.openxmlformats.org/spreadsheetml/2006/main">
  <authors>
    <author>orabi abdullah</author>
    <author>orabi</author>
  </authors>
  <commentList>
    <comment ref="A28" authorId="0">
      <text>
        <r>
          <rPr>
            <b/>
            <sz val="9"/>
            <color indexed="81"/>
            <rFont val="Tahoma"/>
            <family val="2"/>
          </rPr>
          <t>orabi abdullah: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8" authorId="0">
      <text>
        <r>
          <rPr>
            <b/>
            <sz val="9"/>
            <color indexed="81"/>
            <rFont val="Tahoma"/>
            <family val="2"/>
          </rPr>
          <t>orabi abdullah: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AP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AQ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AR60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AP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AQ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AR63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AP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AQ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AR89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C282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82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82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82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282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HIGH
</t>
        </r>
      </text>
    </comment>
    <comment ref="AP282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LOW
</t>
        </r>
      </text>
    </comment>
    <comment ref="AQ282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HIGH
</t>
        </r>
      </text>
    </comment>
    <comment ref="AR282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 LOW</t>
        </r>
      </text>
    </comment>
    <comment ref="C285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285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285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285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285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HIGH
</t>
        </r>
      </text>
    </comment>
    <comment ref="AP285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LOW
</t>
        </r>
      </text>
    </comment>
    <comment ref="AQ285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HIGH
</t>
        </r>
      </text>
    </comment>
    <comment ref="AR285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 LOW</t>
        </r>
      </text>
    </comment>
    <comment ref="C311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311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311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311" authorId="1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  <comment ref="AO311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HIGH
</t>
        </r>
      </text>
    </comment>
    <comment ref="AP311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FIRST LOW
</t>
        </r>
      </text>
    </comment>
    <comment ref="AQ311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HIGH
</t>
        </r>
      </text>
    </comment>
    <comment ref="AR311" authorId="1">
      <text>
        <r>
          <rPr>
            <b/>
            <sz val="9"/>
            <color rgb="FF000000"/>
            <rFont val="Tahoma"/>
            <family val="2"/>
          </rPr>
          <t>orabi:</t>
        </r>
        <r>
          <rPr>
            <sz val="9"/>
            <color rgb="FF000000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<sst xmlns="http://schemas.openxmlformats.org/spreadsheetml/2006/main" count="357" uniqueCount="56">
  <si>
    <t>EURUSD</t>
  </si>
  <si>
    <t>type</t>
  </si>
  <si>
    <t>factor2</t>
  </si>
  <si>
    <t>correction</t>
  </si>
  <si>
    <t>GBPUSD</t>
  </si>
  <si>
    <t>GBPJPY</t>
  </si>
  <si>
    <t>EURJPY</t>
  </si>
  <si>
    <t>general</t>
  </si>
  <si>
    <t>general 2</t>
  </si>
  <si>
    <t>general2</t>
  </si>
  <si>
    <t>jocker</t>
  </si>
  <si>
    <t>input period</t>
  </si>
  <si>
    <t>resistance</t>
  </si>
  <si>
    <t xml:space="preserve">momental </t>
  </si>
  <si>
    <t>support</t>
  </si>
  <si>
    <t>last high</t>
  </si>
  <si>
    <t>last low</t>
  </si>
  <si>
    <t>num1</t>
  </si>
  <si>
    <t>lastlow</t>
  </si>
  <si>
    <t>num2</t>
  </si>
  <si>
    <t>2nd high</t>
  </si>
  <si>
    <t>2nd low</t>
  </si>
  <si>
    <t>fluctuation</t>
  </si>
  <si>
    <t>middle</t>
  </si>
  <si>
    <t>num3</t>
  </si>
  <si>
    <t>3rd high</t>
  </si>
  <si>
    <t>3rd low</t>
  </si>
  <si>
    <t>level</t>
  </si>
  <si>
    <t>3rdlow</t>
  </si>
  <si>
    <t>lasthigh</t>
  </si>
  <si>
    <t>4th high</t>
  </si>
  <si>
    <t>4th low</t>
  </si>
  <si>
    <t>2ndlow</t>
  </si>
  <si>
    <t>3rdhigh</t>
  </si>
  <si>
    <t>factor1</t>
  </si>
  <si>
    <t xml:space="preserve">High </t>
  </si>
  <si>
    <t>low</t>
  </si>
  <si>
    <t>number</t>
  </si>
  <si>
    <t>system 3</t>
  </si>
  <si>
    <t>applied</t>
  </si>
  <si>
    <t>FACTOR1</t>
  </si>
  <si>
    <t>CORRECTION</t>
  </si>
  <si>
    <t>FACTOR2</t>
  </si>
  <si>
    <t xml:space="preserve">IMPORTANT LEVELS </t>
  </si>
  <si>
    <t>system 4</t>
  </si>
  <si>
    <t>SYSTEM VTH</t>
  </si>
  <si>
    <t>\</t>
  </si>
  <si>
    <t>dailly</t>
  </si>
  <si>
    <t>MOMENT</t>
  </si>
  <si>
    <t>DAY 2</t>
  </si>
  <si>
    <t>DAY 3</t>
  </si>
  <si>
    <t>NUMBER</t>
  </si>
  <si>
    <t/>
  </si>
  <si>
    <t>1-2Y</t>
  </si>
  <si>
    <t>`</t>
  </si>
  <si>
    <t>FLOAT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</si>
</sst>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0"/>
    <numFmt numFmtId="165" formatCode="0.000"/>
    <numFmt numFmtId="166" formatCode="0.0000"/>
    <numFmt numFmtId="167" formatCode="0.0"/>
    <numFmt numFmtId="168" formatCode="0.000000"/>
    <numFmt numFmtId="169" formatCode="_(&quot;$&quot;* #,##0.0_);_(&quot;$&quot;* \(#,##0.0\);_(&quot;$&quot;* &quot;-&quot;??_);_(@_)"/>
    <numFmt numFmtId="170" formatCode="0.0000000000000000000000000"/>
    <numFmt numFmtId="171" formatCode="0.0000000000000"/>
    <numFmt numFmtId="172" formatCode="_(&quot;$&quot;* #,##0.000_);_(&quot;$&quot;* \(#,##0.000\);_(&quot;$&quot;* &quot;-&quot;??_);_(@_)"/>
    <numFmt numFmtId="173" formatCode="0.0000000"/>
    <numFmt numFmtId="174" formatCode="0E+00"/>
    <numFmt numFmtId="175" formatCode="00000"/>
  </numFmts>
  <fonts count="9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B0F0"/>
      <name val="Calibri"/>
      <family val="2"/>
      <scheme val="minor"/>
    </font>
    <font>
      <sz val="8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i/>
      <sz val="8"/>
      <color rgb="FF00B0F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i/>
      <sz val="8"/>
      <name val="Calibri"/>
      <family val="2"/>
      <scheme val="minor"/>
    </font>
    <font>
      <sz val="8"/>
      <color rgb="FFC00000"/>
      <name val="Calibri"/>
      <family val="2"/>
      <scheme val="minor"/>
    </font>
    <font>
      <b/>
      <sz val="8"/>
      <color rgb="FF92D050"/>
      <name val="Calibri"/>
      <family val="2"/>
      <scheme val="minor"/>
    </font>
    <font>
      <sz val="8"/>
      <color theme="5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i/>
      <sz val="8"/>
      <color rgb="FF00B05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 Cyr"/>
      <family val="2"/>
      <charset val="204"/>
    </font>
    <font>
      <b/>
      <sz val="8"/>
      <name val="Cambria"/>
      <family val="1"/>
      <scheme val="major"/>
    </font>
    <font>
      <b/>
      <i/>
      <sz val="8"/>
      <color theme="0"/>
      <name val="Cambria"/>
      <family val="1"/>
      <scheme val="major"/>
    </font>
    <font>
      <b/>
      <sz val="8"/>
      <color theme="0"/>
      <name val="Cambria"/>
      <family val="1"/>
      <scheme val="major"/>
    </font>
    <font>
      <b/>
      <i/>
      <sz val="8"/>
      <name val="Cambria"/>
      <family val="1"/>
      <scheme val="major"/>
    </font>
    <font>
      <b/>
      <sz val="8"/>
      <color rgb="FF00B0F0"/>
      <name val="Cambria"/>
      <family val="1"/>
      <scheme val="major"/>
    </font>
    <font>
      <b/>
      <sz val="8"/>
      <color rgb="FF00B0F0"/>
      <name val="Calibri"/>
      <family val="2"/>
      <scheme val="minor"/>
    </font>
    <font>
      <b/>
      <i/>
      <sz val="8"/>
      <color rgb="FFFFFF00"/>
      <name val="Calibri"/>
      <family val="2"/>
      <scheme val="minor"/>
    </font>
    <font>
      <i/>
      <sz val="8"/>
      <color rgb="FFFFFF00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8"/>
      <color rgb="FFFFC000"/>
      <name val="Calibri"/>
      <family val="2"/>
      <scheme val="minor"/>
    </font>
    <font>
      <b/>
      <i/>
      <sz val="8"/>
      <color rgb="FFFFC000"/>
      <name val="Calibri"/>
      <family val="2"/>
      <scheme val="minor"/>
    </font>
    <font>
      <sz val="8"/>
      <color rgb="FFFFC000"/>
      <name val="Calibri"/>
      <family val="2"/>
      <scheme val="minor"/>
    </font>
    <font>
      <b/>
      <i/>
      <sz val="8"/>
      <color rgb="FFFFFFFF"/>
      <name val="Calibri"/>
      <family val="2"/>
    </font>
    <font>
      <b/>
      <sz val="8"/>
      <color rgb="FFFF0000"/>
      <name val="Calibri"/>
      <family val="2"/>
    </font>
    <font>
      <b/>
      <sz val="8"/>
      <color rgb="FF000000"/>
      <name val="Calibri"/>
      <family val="2"/>
    </font>
    <font>
      <b/>
      <i/>
      <sz val="8"/>
      <name val="Calibri"/>
      <family val="2"/>
    </font>
    <font>
      <sz val="8"/>
      <color rgb="FF000000"/>
      <name val="Calibri"/>
      <family val="2"/>
    </font>
    <font>
      <b/>
      <i/>
      <sz val="8"/>
      <color rgb="FFFF0000"/>
      <name val="Calibri"/>
      <family val="2"/>
    </font>
    <font>
      <sz val="8"/>
      <color rgb="FF00B0F0"/>
      <name val="Calibri"/>
      <family val="2"/>
    </font>
    <font>
      <b/>
      <sz val="8"/>
      <color rgb="FFFFFFFF"/>
      <name val="Calibri"/>
      <family val="2"/>
    </font>
    <font>
      <b/>
      <i/>
      <sz val="8"/>
      <color rgb="FF00B050"/>
      <name val="Calibri"/>
      <family val="2"/>
    </font>
    <font>
      <sz val="8"/>
      <name val="Calibri"/>
      <family val="2"/>
    </font>
    <font>
      <sz val="8"/>
      <color rgb="FFFF0000"/>
      <name val="Calibri"/>
      <family val="2"/>
    </font>
    <font>
      <i/>
      <sz val="8"/>
      <name val="Calibri"/>
      <family val="2"/>
    </font>
    <font>
      <sz val="8"/>
      <color rgb="FFFFFFFF"/>
      <name val="Calibri"/>
      <family val="2"/>
    </font>
    <font>
      <b/>
      <sz val="8"/>
      <name val="Calibri"/>
      <family val="2"/>
    </font>
    <font>
      <b/>
      <sz val="8"/>
      <name val="Cambria"/>
      <family val="1"/>
    </font>
    <font>
      <b/>
      <i/>
      <sz val="8"/>
      <color rgb="FFFFFFFF"/>
      <name val="Cambria"/>
      <family val="1"/>
    </font>
    <font>
      <b/>
      <sz val="8"/>
      <color rgb="FFFFFFFF"/>
      <name val="Cambria"/>
      <family val="1"/>
    </font>
    <font>
      <b/>
      <i/>
      <sz val="8"/>
      <name val="Cambria"/>
      <family val="1"/>
    </font>
    <font>
      <b/>
      <sz val="8"/>
      <color rgb="FF00B0F0"/>
      <name val="Cambria"/>
      <family val="1"/>
    </font>
    <font>
      <b/>
      <sz val="8"/>
      <color rgb="FF00B0F0"/>
      <name val="Calibri"/>
      <family val="2"/>
    </font>
    <font>
      <b/>
      <i/>
      <sz val="8"/>
      <color rgb="FFFFFF00"/>
      <name val="Calibri"/>
      <family val="2"/>
    </font>
    <font>
      <b/>
      <i/>
      <sz val="8"/>
      <color rgb="FF00B0F0"/>
      <name val="Calibri"/>
      <family val="2"/>
    </font>
    <font>
      <i/>
      <sz val="8"/>
      <color rgb="FFFFFF00"/>
      <name val="Calibri"/>
      <family val="2"/>
    </font>
    <font>
      <sz val="8"/>
      <color rgb="FFFFFF00"/>
      <name val="Calibri"/>
      <family val="2"/>
    </font>
    <font>
      <b/>
      <sz val="8"/>
      <color rgb="FFFFC000"/>
      <name val="Calibri"/>
      <family val="2"/>
    </font>
    <font>
      <b/>
      <i/>
      <sz val="8"/>
      <color rgb="FF000000"/>
      <name val="Calibri"/>
      <family val="2"/>
    </font>
    <font>
      <b/>
      <i/>
      <sz val="8"/>
      <color rgb="FFFFC000"/>
      <name val="Calibri"/>
      <family val="2"/>
    </font>
    <font>
      <sz val="8"/>
      <color rgb="FFFFC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B0F0"/>
      <name val="Calibri"/>
      <family val="2"/>
      <scheme val="minor"/>
    </font>
    <font>
      <sz val="9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00B0F0"/>
      <name val="Calibri"/>
      <family val="2"/>
      <scheme val="minor"/>
    </font>
    <font>
      <i/>
      <sz val="9"/>
      <name val="Calibri"/>
      <family val="2"/>
      <scheme val="minor"/>
    </font>
    <font>
      <sz val="9"/>
      <color rgb="FFC00000"/>
      <name val="Calibri"/>
      <family val="2"/>
      <scheme val="minor"/>
    </font>
    <font>
      <b/>
      <sz val="9"/>
      <color rgb="FF92D050"/>
      <name val="Calibri"/>
      <family val="2"/>
      <scheme val="minor"/>
    </font>
    <font>
      <sz val="9"/>
      <color rgb="FF92D050"/>
      <name val="Calibri"/>
      <family val="2"/>
      <scheme val="minor"/>
    </font>
    <font>
      <sz val="9"/>
      <color theme="5" tint="-0.249977111117893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rgb="FF92D05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EEECE1"/>
        <bgColor rgb="FF000000"/>
      </patternFill>
    </fill>
    <fill>
      <patternFill patternType="solid">
        <fgColor rgb="FF8DB4E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244062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48A54"/>
        <bgColor rgb="FF000000"/>
      </patternFill>
    </fill>
    <fill>
      <patternFill patternType="solid">
        <fgColor rgb="FF538DD5"/>
        <bgColor rgb="FF000000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8">
    <xf numFmtId="0" fontId="0" fillId="0" borderId="0" xfId="0"/>
    <xf numFmtId="164" fontId="2" fillId="2" borderId="0" xfId="0" applyNumberFormat="1" applyFont="1" applyFill="1"/>
    <xf numFmtId="0" fontId="2" fillId="2" borderId="0" xfId="0" applyFont="1" applyFill="1"/>
    <xf numFmtId="0" fontId="3" fillId="2" borderId="0" xfId="0" applyFont="1" applyFill="1"/>
    <xf numFmtId="165" fontId="4" fillId="3" borderId="1" xfId="0" applyNumberFormat="1" applyFont="1" applyFill="1" applyBorder="1"/>
    <xf numFmtId="166" fontId="5" fillId="4" borderId="2" xfId="0" applyNumberFormat="1" applyFont="1" applyFill="1" applyBorder="1" applyAlignment="1">
      <alignment horizontal="center"/>
    </xf>
    <xf numFmtId="167" fontId="2" fillId="5" borderId="0" xfId="0" applyNumberFormat="1" applyFont="1" applyFill="1"/>
    <xf numFmtId="0" fontId="0" fillId="6" borderId="0" xfId="0" applyFill="1"/>
    <xf numFmtId="164" fontId="4" fillId="2" borderId="0" xfId="0" applyNumberFormat="1" applyFont="1" applyFill="1"/>
    <xf numFmtId="165" fontId="6" fillId="6" borderId="0" xfId="0" applyNumberFormat="1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3" fillId="6" borderId="0" xfId="0" applyFont="1" applyFill="1"/>
    <xf numFmtId="166" fontId="7" fillId="5" borderId="3" xfId="0" applyNumberFormat="1" applyFont="1" applyFill="1" applyBorder="1" applyAlignment="1">
      <alignment horizontal="center"/>
    </xf>
    <xf numFmtId="0" fontId="4" fillId="3" borderId="0" xfId="0" applyFont="1" applyFill="1"/>
    <xf numFmtId="2" fontId="8" fillId="3" borderId="0" xfId="0" applyNumberFormat="1" applyFont="1" applyFill="1"/>
    <xf numFmtId="0" fontId="4" fillId="5" borderId="0" xfId="0" applyFont="1" applyFill="1"/>
    <xf numFmtId="0" fontId="9" fillId="7" borderId="0" xfId="0" applyFont="1" applyFill="1" applyAlignment="1">
      <alignment horizontal="center"/>
    </xf>
    <xf numFmtId="0" fontId="7" fillId="5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168" fontId="10" fillId="2" borderId="0" xfId="0" applyNumberFormat="1" applyFont="1" applyFill="1"/>
    <xf numFmtId="2" fontId="3" fillId="2" borderId="0" xfId="0" applyNumberFormat="1" applyFont="1" applyFill="1"/>
    <xf numFmtId="0" fontId="2" fillId="8" borderId="0" xfId="0" applyFont="1" applyFill="1"/>
    <xf numFmtId="0" fontId="11" fillId="6" borderId="0" xfId="0" applyFont="1" applyFill="1" applyAlignment="1">
      <alignment horizontal="center"/>
    </xf>
    <xf numFmtId="166" fontId="2" fillId="9" borderId="0" xfId="0" applyNumberFormat="1" applyFont="1" applyFill="1"/>
    <xf numFmtId="164" fontId="2" fillId="9" borderId="0" xfId="0" applyNumberFormat="1" applyFont="1" applyFill="1"/>
    <xf numFmtId="0" fontId="2" fillId="6" borderId="0" xfId="0" applyFont="1" applyFill="1"/>
    <xf numFmtId="165" fontId="3" fillId="2" borderId="0" xfId="0" applyNumberFormat="1" applyFont="1" applyFill="1"/>
    <xf numFmtId="0" fontId="12" fillId="10" borderId="0" xfId="0" applyFont="1" applyFill="1"/>
    <xf numFmtId="0" fontId="2" fillId="9" borderId="0" xfId="0" applyFont="1" applyFill="1"/>
    <xf numFmtId="164" fontId="13" fillId="2" borderId="0" xfId="0" applyNumberFormat="1" applyFont="1" applyFill="1"/>
    <xf numFmtId="0" fontId="13" fillId="2" borderId="0" xfId="0" applyFont="1" applyFill="1"/>
    <xf numFmtId="166" fontId="2" fillId="5" borderId="0" xfId="0" applyNumberFormat="1" applyFont="1" applyFill="1"/>
    <xf numFmtId="0" fontId="14" fillId="6" borderId="0" xfId="0" applyFont="1" applyFill="1"/>
    <xf numFmtId="1" fontId="14" fillId="6" borderId="0" xfId="0" applyNumberFormat="1" applyFont="1" applyFill="1"/>
    <xf numFmtId="0" fontId="15" fillId="6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7" fillId="4" borderId="0" xfId="0" applyFont="1" applyFill="1" applyAlignment="1">
      <alignment horizontal="center"/>
    </xf>
    <xf numFmtId="0" fontId="18" fillId="11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9" fillId="12" borderId="0" xfId="0" applyFont="1" applyFill="1" applyAlignment="1">
      <alignment horizontal="center"/>
    </xf>
    <xf numFmtId="2" fontId="17" fillId="4" borderId="0" xfId="0" applyNumberFormat="1" applyFont="1" applyFill="1" applyAlignment="1">
      <alignment horizontal="center"/>
    </xf>
    <xf numFmtId="165" fontId="18" fillId="12" borderId="0" xfId="0" applyNumberFormat="1" applyFont="1" applyFill="1" applyAlignment="1">
      <alignment horizontal="center"/>
    </xf>
    <xf numFmtId="0" fontId="18" fillId="12" borderId="0" xfId="0" applyFont="1" applyFill="1" applyAlignment="1">
      <alignment horizontal="center"/>
    </xf>
    <xf numFmtId="2" fontId="18" fillId="4" borderId="0" xfId="0" applyNumberFormat="1" applyFont="1" applyFill="1" applyAlignment="1">
      <alignment horizontal="center"/>
    </xf>
    <xf numFmtId="165" fontId="19" fillId="12" borderId="0" xfId="0" applyNumberFormat="1" applyFont="1" applyFill="1" applyAlignment="1">
      <alignment horizontal="center"/>
    </xf>
    <xf numFmtId="1" fontId="19" fillId="12" borderId="0" xfId="0" applyNumberFormat="1" applyFont="1" applyFill="1" applyAlignment="1">
      <alignment horizontal="center"/>
    </xf>
    <xf numFmtId="1" fontId="18" fillId="12" borderId="0" xfId="0" applyNumberFormat="1" applyFont="1" applyFill="1" applyAlignment="1">
      <alignment horizontal="center"/>
    </xf>
    <xf numFmtId="0" fontId="17" fillId="7" borderId="0" xfId="0" applyFont="1" applyFill="1" applyAlignment="1">
      <alignment horizontal="center"/>
    </xf>
    <xf numFmtId="1" fontId="17" fillId="13" borderId="0" xfId="0" applyNumberFormat="1" applyFont="1" applyFill="1" applyAlignment="1">
      <alignment horizontal="center"/>
    </xf>
    <xf numFmtId="0" fontId="18" fillId="7" borderId="0" xfId="0" applyFont="1" applyFill="1" applyAlignment="1">
      <alignment horizontal="center"/>
    </xf>
    <xf numFmtId="1" fontId="18" fillId="13" borderId="0" xfId="0" applyNumberFormat="1" applyFont="1" applyFill="1" applyAlignment="1">
      <alignment horizontal="center"/>
    </xf>
    <xf numFmtId="0" fontId="17" fillId="5" borderId="0" xfId="0" applyFont="1" applyFill="1" applyAlignment="1">
      <alignment horizontal="center"/>
    </xf>
    <xf numFmtId="0" fontId="18" fillId="5" borderId="0" xfId="0" applyFont="1" applyFill="1" applyAlignment="1">
      <alignment horizontal="center"/>
    </xf>
    <xf numFmtId="0" fontId="19" fillId="14" borderId="0" xfId="0" applyFont="1" applyFill="1" applyAlignment="1">
      <alignment horizontal="center"/>
    </xf>
    <xf numFmtId="0" fontId="17" fillId="13" borderId="0" xfId="0" applyFont="1" applyFill="1" applyAlignment="1">
      <alignment horizontal="center"/>
    </xf>
    <xf numFmtId="0" fontId="18" fillId="14" borderId="0" xfId="0" applyFont="1" applyFill="1" applyAlignment="1">
      <alignment horizontal="center"/>
    </xf>
    <xf numFmtId="0" fontId="18" fillId="13" borderId="0" xfId="0" applyFont="1" applyFill="1" applyAlignment="1">
      <alignment horizontal="center"/>
    </xf>
    <xf numFmtId="1" fontId="20" fillId="13" borderId="0" xfId="0" applyNumberFormat="1" applyFont="1" applyFill="1" applyAlignment="1">
      <alignment horizontal="center"/>
    </xf>
    <xf numFmtId="0" fontId="21" fillId="9" borderId="0" xfId="0" applyFont="1" applyFill="1" applyAlignment="1">
      <alignment horizontal="center"/>
    </xf>
    <xf numFmtId="0" fontId="19" fillId="5" borderId="0" xfId="0" applyFont="1" applyFill="1" applyAlignment="1">
      <alignment horizontal="center"/>
    </xf>
    <xf numFmtId="0" fontId="18" fillId="9" borderId="0" xfId="0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167" fontId="18" fillId="13" borderId="0" xfId="0" applyNumberFormat="1" applyFont="1" applyFill="1" applyAlignment="1">
      <alignment horizontal="center"/>
    </xf>
    <xf numFmtId="0" fontId="22" fillId="15" borderId="0" xfId="0" applyFont="1" applyFill="1"/>
    <xf numFmtId="0" fontId="22" fillId="14" borderId="0" xfId="0" applyFont="1" applyFill="1"/>
    <xf numFmtId="0" fontId="22" fillId="9" borderId="0" xfId="0" applyFont="1" applyFill="1"/>
    <xf numFmtId="0" fontId="22" fillId="5" borderId="0" xfId="0" applyFont="1" applyFill="1"/>
    <xf numFmtId="0" fontId="23" fillId="12" borderId="0" xfId="0" applyFont="1" applyFill="1" applyAlignment="1">
      <alignment horizontal="center"/>
    </xf>
    <xf numFmtId="166" fontId="23" fillId="12" borderId="0" xfId="0" applyNumberFormat="1" applyFont="1" applyFill="1" applyAlignment="1">
      <alignment horizontal="center"/>
    </xf>
    <xf numFmtId="0" fontId="22" fillId="4" borderId="0" xfId="0" applyFont="1" applyFill="1"/>
    <xf numFmtId="1" fontId="18" fillId="4" borderId="0" xfId="0" applyNumberFormat="1" applyFont="1" applyFill="1" applyAlignment="1">
      <alignment horizontal="center"/>
    </xf>
    <xf numFmtId="165" fontId="23" fillId="12" borderId="0" xfId="0" applyNumberFormat="1" applyFont="1" applyFill="1" applyAlignment="1">
      <alignment horizontal="center"/>
    </xf>
    <xf numFmtId="168" fontId="22" fillId="4" borderId="0" xfId="0" applyNumberFormat="1" applyFont="1" applyFill="1"/>
    <xf numFmtId="164" fontId="18" fillId="4" borderId="0" xfId="0" applyNumberFormat="1" applyFont="1" applyFill="1" applyAlignment="1">
      <alignment horizontal="center"/>
    </xf>
    <xf numFmtId="166" fontId="22" fillId="4" borderId="0" xfId="0" applyNumberFormat="1" applyFont="1" applyFill="1"/>
    <xf numFmtId="168" fontId="18" fillId="4" borderId="0" xfId="0" applyNumberFormat="1" applyFont="1" applyFill="1" applyAlignment="1">
      <alignment horizontal="center"/>
    </xf>
    <xf numFmtId="2" fontId="23" fillId="12" borderId="0" xfId="0" applyNumberFormat="1" applyFont="1" applyFill="1" applyAlignment="1">
      <alignment horizontal="center"/>
    </xf>
    <xf numFmtId="2" fontId="18" fillId="12" borderId="0" xfId="0" applyNumberFormat="1" applyFont="1" applyFill="1" applyAlignment="1">
      <alignment horizontal="center"/>
    </xf>
    <xf numFmtId="1" fontId="22" fillId="2" borderId="0" xfId="0" applyNumberFormat="1" applyFont="1" applyFill="1"/>
    <xf numFmtId="166" fontId="22" fillId="2" borderId="0" xfId="0" applyNumberFormat="1" applyFont="1" applyFill="1"/>
    <xf numFmtId="1" fontId="18" fillId="2" borderId="0" xfId="0" applyNumberFormat="1" applyFont="1" applyFill="1" applyAlignment="1">
      <alignment horizontal="center"/>
    </xf>
    <xf numFmtId="166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0" fontId="24" fillId="6" borderId="0" xfId="0" applyFont="1" applyFill="1" applyAlignment="1">
      <alignment horizontal="center"/>
    </xf>
    <xf numFmtId="0" fontId="25" fillId="16" borderId="0" xfId="0" applyFont="1" applyFill="1" applyAlignment="1">
      <alignment horizontal="center"/>
    </xf>
    <xf numFmtId="0" fontId="13" fillId="17" borderId="0" xfId="0" applyFont="1" applyFill="1" applyAlignment="1">
      <alignment horizontal="center"/>
    </xf>
    <xf numFmtId="0" fontId="9" fillId="18" borderId="0" xfId="0" applyFont="1" applyFill="1" applyAlignment="1">
      <alignment horizontal="center"/>
    </xf>
    <xf numFmtId="0" fontId="9" fillId="12" borderId="0" xfId="0" applyFont="1" applyFill="1" applyAlignment="1">
      <alignment horizontal="center"/>
    </xf>
    <xf numFmtId="0" fontId="2" fillId="4" borderId="0" xfId="0" applyFont="1" applyFill="1"/>
    <xf numFmtId="0" fontId="9" fillId="13" borderId="0" xfId="0" applyFont="1" applyFill="1" applyAlignment="1">
      <alignment horizontal="center"/>
    </xf>
    <xf numFmtId="165" fontId="5" fillId="4" borderId="0" xfId="0" applyNumberFormat="1" applyFont="1" applyFill="1" applyAlignment="1">
      <alignment horizontal="center"/>
    </xf>
    <xf numFmtId="1" fontId="3" fillId="4" borderId="0" xfId="0" applyNumberFormat="1" applyFont="1" applyFill="1"/>
    <xf numFmtId="169" fontId="9" fillId="18" borderId="0" xfId="0" applyNumberFormat="1" applyFont="1" applyFill="1" applyAlignment="1">
      <alignment horizontal="center"/>
    </xf>
    <xf numFmtId="1" fontId="9" fillId="18" borderId="0" xfId="0" applyNumberFormat="1" applyFont="1" applyFill="1" applyAlignment="1">
      <alignment horizontal="center"/>
    </xf>
    <xf numFmtId="165" fontId="9" fillId="12" borderId="0" xfId="0" applyNumberFormat="1" applyFont="1" applyFill="1" applyAlignment="1">
      <alignment horizontal="center"/>
    </xf>
    <xf numFmtId="2" fontId="2" fillId="4" borderId="0" xfId="0" applyNumberFormat="1" applyFont="1" applyFill="1"/>
    <xf numFmtId="1" fontId="9" fillId="13" borderId="0" xfId="0" applyNumberFormat="1" applyFont="1" applyFill="1" applyAlignment="1">
      <alignment horizontal="center"/>
    </xf>
    <xf numFmtId="166" fontId="9" fillId="18" borderId="0" xfId="0" applyNumberFormat="1" applyFont="1" applyFill="1" applyAlignment="1">
      <alignment horizontal="center"/>
    </xf>
    <xf numFmtId="166" fontId="9" fillId="13" borderId="0" xfId="0" applyNumberFormat="1" applyFont="1" applyFill="1" applyAlignment="1">
      <alignment horizontal="center"/>
    </xf>
    <xf numFmtId="1" fontId="26" fillId="5" borderId="4" xfId="0" applyNumberFormat="1" applyFont="1" applyFill="1" applyBorder="1" applyAlignment="1">
      <alignment horizontal="center"/>
    </xf>
    <xf numFmtId="167" fontId="3" fillId="4" borderId="0" xfId="0" applyNumberFormat="1" applyFont="1" applyFill="1"/>
    <xf numFmtId="2" fontId="9" fillId="12" borderId="0" xfId="0" applyNumberFormat="1" applyFont="1" applyFill="1" applyAlignment="1">
      <alignment horizontal="center"/>
    </xf>
    <xf numFmtId="165" fontId="9" fillId="13" borderId="0" xfId="0" applyNumberFormat="1" applyFont="1" applyFill="1" applyAlignment="1">
      <alignment horizontal="center"/>
    </xf>
    <xf numFmtId="1" fontId="5" fillId="7" borderId="5" xfId="0" applyNumberFormat="1" applyFont="1" applyFill="1" applyBorder="1" applyAlignment="1">
      <alignment horizontal="center"/>
    </xf>
    <xf numFmtId="1" fontId="13" fillId="18" borderId="0" xfId="0" applyNumberFormat="1" applyFont="1" applyFill="1" applyAlignment="1">
      <alignment horizontal="center"/>
    </xf>
    <xf numFmtId="2" fontId="13" fillId="18" borderId="0" xfId="0" applyNumberFormat="1" applyFont="1" applyFill="1" applyAlignment="1">
      <alignment horizontal="center"/>
    </xf>
    <xf numFmtId="167" fontId="9" fillId="13" borderId="0" xfId="0" applyNumberFormat="1" applyFont="1" applyFill="1" applyAlignment="1">
      <alignment horizontal="center"/>
    </xf>
    <xf numFmtId="165" fontId="3" fillId="4" borderId="0" xfId="0" applyNumberFormat="1" applyFont="1" applyFill="1"/>
    <xf numFmtId="1" fontId="4" fillId="18" borderId="0" xfId="0" applyNumberFormat="1" applyFont="1" applyFill="1" applyAlignment="1">
      <alignment horizontal="center"/>
    </xf>
    <xf numFmtId="1" fontId="2" fillId="18" borderId="0" xfId="0" applyNumberFormat="1" applyFont="1" applyFill="1"/>
    <xf numFmtId="0" fontId="2" fillId="18" borderId="0" xfId="0" applyFont="1" applyFill="1"/>
    <xf numFmtId="2" fontId="2" fillId="18" borderId="0" xfId="0" applyNumberFormat="1" applyFont="1" applyFill="1"/>
    <xf numFmtId="165" fontId="2" fillId="4" borderId="0" xfId="0" applyNumberFormat="1" applyFont="1" applyFill="1"/>
    <xf numFmtId="0" fontId="5" fillId="4" borderId="0" xfId="0" applyFont="1" applyFill="1" applyAlignment="1">
      <alignment horizontal="center"/>
    </xf>
    <xf numFmtId="1" fontId="27" fillId="13" borderId="0" xfId="0" applyNumberFormat="1" applyFont="1" applyFill="1" applyAlignment="1">
      <alignment horizontal="center"/>
    </xf>
    <xf numFmtId="0" fontId="27" fillId="13" borderId="0" xfId="0" applyFont="1" applyFill="1" applyAlignment="1">
      <alignment horizontal="center"/>
    </xf>
    <xf numFmtId="0" fontId="27" fillId="6" borderId="0" xfId="0" applyFont="1" applyFill="1"/>
    <xf numFmtId="2" fontId="27" fillId="6" borderId="1" xfId="0" applyNumberFormat="1" applyFont="1" applyFill="1" applyBorder="1"/>
    <xf numFmtId="166" fontId="5" fillId="6" borderId="2" xfId="0" applyNumberFormat="1" applyFont="1" applyFill="1" applyBorder="1" applyAlignment="1">
      <alignment horizontal="center"/>
    </xf>
    <xf numFmtId="0" fontId="4" fillId="6" borderId="0" xfId="0" applyFont="1" applyFill="1"/>
    <xf numFmtId="167" fontId="4" fillId="6" borderId="0" xfId="0" applyNumberFormat="1" applyFont="1" applyFill="1"/>
    <xf numFmtId="165" fontId="3" fillId="6" borderId="0" xfId="0" applyNumberFormat="1" applyFont="1" applyFill="1"/>
    <xf numFmtId="166" fontId="5" fillId="6" borderId="0" xfId="0" applyNumberFormat="1" applyFont="1" applyFill="1" applyAlignment="1">
      <alignment horizontal="center"/>
    </xf>
    <xf numFmtId="0" fontId="5" fillId="6" borderId="0" xfId="0" applyFont="1" applyFill="1" applyAlignment="1">
      <alignment horizontal="center"/>
    </xf>
    <xf numFmtId="165" fontId="24" fillId="6" borderId="0" xfId="0" applyNumberFormat="1" applyFont="1" applyFill="1"/>
    <xf numFmtId="166" fontId="24" fillId="6" borderId="6" xfId="0" applyNumberFormat="1" applyFont="1" applyFill="1" applyBorder="1" applyAlignment="1">
      <alignment horizontal="center"/>
    </xf>
    <xf numFmtId="2" fontId="8" fillId="13" borderId="0" xfId="0" applyNumberFormat="1" applyFont="1" applyFill="1"/>
    <xf numFmtId="0" fontId="28" fillId="6" borderId="7" xfId="0" applyFont="1" applyFill="1" applyBorder="1"/>
    <xf numFmtId="2" fontId="27" fillId="6" borderId="0" xfId="0" applyNumberFormat="1" applyFont="1" applyFill="1"/>
    <xf numFmtId="1" fontId="29" fillId="19" borderId="1" xfId="0" applyNumberFormat="1" applyFont="1" applyFill="1" applyBorder="1" applyAlignment="1">
      <alignment horizontal="center"/>
    </xf>
    <xf numFmtId="1" fontId="9" fillId="19" borderId="0" xfId="0" applyNumberFormat="1" applyFont="1" applyFill="1" applyAlignment="1">
      <alignment horizontal="center"/>
    </xf>
    <xf numFmtId="166" fontId="4" fillId="19" borderId="1" xfId="0" applyNumberFormat="1" applyFont="1" applyFill="1" applyBorder="1"/>
    <xf numFmtId="1" fontId="9" fillId="19" borderId="1" xfId="0" applyNumberFormat="1" applyFont="1" applyFill="1" applyBorder="1"/>
    <xf numFmtId="166" fontId="29" fillId="19" borderId="0" xfId="0" applyNumberFormat="1" applyFont="1" applyFill="1" applyAlignment="1">
      <alignment horizontal="center"/>
    </xf>
    <xf numFmtId="167" fontId="9" fillId="19" borderId="0" xfId="0" applyNumberFormat="1" applyFont="1" applyFill="1"/>
    <xf numFmtId="1" fontId="9" fillId="19" borderId="0" xfId="0" applyNumberFormat="1" applyFont="1" applyFill="1"/>
    <xf numFmtId="2" fontId="4" fillId="19" borderId="0" xfId="0" applyNumberFormat="1" applyFont="1" applyFill="1"/>
    <xf numFmtId="0" fontId="4" fillId="13" borderId="0" xfId="0" applyFont="1" applyFill="1"/>
    <xf numFmtId="1" fontId="5" fillId="6" borderId="0" xfId="0" applyNumberFormat="1" applyFont="1" applyFill="1" applyBorder="1" applyAlignment="1" applyProtection="1">
      <alignment horizontal="center"/>
    </xf>
    <xf numFmtId="1" fontId="9" fillId="5" borderId="8" xfId="0" applyNumberFormat="1" applyFont="1" applyFill="1" applyBorder="1" applyAlignment="1" applyProtection="1">
      <alignment horizontal="center"/>
    </xf>
    <xf numFmtId="1" fontId="9" fillId="5" borderId="0" xfId="0" applyNumberFormat="1" applyFont="1" applyFill="1" applyBorder="1" applyAlignment="1" applyProtection="1">
      <alignment horizontal="center"/>
    </xf>
    <xf numFmtId="170" fontId="5" fillId="6" borderId="0" xfId="0" applyNumberFormat="1" applyFont="1" applyFill="1" applyBorder="1" applyAlignment="1" applyProtection="1">
      <alignment horizontal="center"/>
    </xf>
    <xf numFmtId="1" fontId="27" fillId="6" borderId="0" xfId="0" applyNumberFormat="1" applyFont="1" applyFill="1" applyBorder="1" applyProtection="1"/>
    <xf numFmtId="1" fontId="5" fillId="4" borderId="0" xfId="0" applyNumberFormat="1" applyFont="1" applyFill="1" applyBorder="1" applyAlignment="1" applyProtection="1">
      <alignment horizontal="center"/>
    </xf>
    <xf numFmtId="167" fontId="5" fillId="4" borderId="0" xfId="0" applyNumberFormat="1" applyFont="1" applyFill="1" applyBorder="1" applyAlignment="1" applyProtection="1">
      <alignment horizontal="center"/>
    </xf>
    <xf numFmtId="1" fontId="24" fillId="6" borderId="9" xfId="0" applyNumberFormat="1" applyFont="1" applyFill="1" applyBorder="1" applyAlignment="1" applyProtection="1">
      <alignment horizontal="center"/>
    </xf>
    <xf numFmtId="1" fontId="24" fillId="6" borderId="10" xfId="0" applyNumberFormat="1" applyFont="1" applyFill="1" applyBorder="1" applyAlignment="1" applyProtection="1">
      <alignment horizontal="center"/>
    </xf>
    <xf numFmtId="1" fontId="24" fillId="6" borderId="11" xfId="0" applyNumberFormat="1" applyFont="1" applyFill="1" applyBorder="1" applyAlignment="1" applyProtection="1">
      <alignment horizontal="center"/>
    </xf>
    <xf numFmtId="165" fontId="27" fillId="6" borderId="0" xfId="0" applyNumberFormat="1" applyFont="1" applyFill="1" applyBorder="1" applyProtection="1"/>
    <xf numFmtId="165" fontId="4" fillId="6" borderId="0" xfId="0" applyNumberFormat="1" applyFont="1" applyFill="1" applyBorder="1" applyProtection="1"/>
    <xf numFmtId="171" fontId="4" fillId="6" borderId="0" xfId="0" applyNumberFormat="1" applyFont="1" applyFill="1" applyBorder="1" applyProtection="1"/>
    <xf numFmtId="0" fontId="4" fillId="6" borderId="0" xfId="0" applyFont="1" applyFill="1" applyProtection="1"/>
    <xf numFmtId="166" fontId="9" fillId="6" borderId="0" xfId="0" applyNumberFormat="1" applyFont="1" applyFill="1" applyBorder="1" applyAlignment="1" applyProtection="1">
      <alignment horizontal="center"/>
    </xf>
    <xf numFmtId="2" fontId="4" fillId="6" borderId="8" xfId="0" applyNumberFormat="1" applyFont="1" applyFill="1" applyBorder="1" applyProtection="1"/>
    <xf numFmtId="2" fontId="4" fillId="6" borderId="0" xfId="0" applyNumberFormat="1" applyFont="1" applyFill="1" applyBorder="1" applyProtection="1"/>
    <xf numFmtId="1" fontId="5" fillId="4" borderId="0" xfId="0" applyNumberFormat="1" applyFont="1" applyFill="1" applyBorder="1" applyAlignment="1" applyProtection="1"/>
    <xf numFmtId="1" fontId="5" fillId="6" borderId="12" xfId="0" applyNumberFormat="1" applyFont="1" applyFill="1" applyBorder="1" applyAlignment="1" applyProtection="1"/>
    <xf numFmtId="1" fontId="5" fillId="6" borderId="0" xfId="0" applyNumberFormat="1" applyFont="1" applyFill="1" applyBorder="1" applyAlignment="1" applyProtection="1"/>
    <xf numFmtId="1" fontId="5" fillId="13" borderId="0" xfId="0" applyNumberFormat="1" applyFont="1" applyFill="1" applyBorder="1" applyAlignment="1" applyProtection="1">
      <alignment horizontal="center"/>
    </xf>
    <xf numFmtId="2" fontId="5" fillId="6" borderId="0" xfId="0" applyNumberFormat="1" applyFont="1" applyFill="1" applyBorder="1" applyAlignment="1" applyProtection="1">
      <alignment horizontal="center"/>
    </xf>
    <xf numFmtId="166" fontId="27" fillId="6" borderId="0" xfId="0" applyNumberFormat="1" applyFont="1" applyFill="1" applyBorder="1" applyProtection="1"/>
    <xf numFmtId="166" fontId="4" fillId="6" borderId="0" xfId="0" applyNumberFormat="1" applyFont="1" applyFill="1" applyBorder="1" applyProtection="1"/>
    <xf numFmtId="167" fontId="4" fillId="6" borderId="0" xfId="0" applyNumberFormat="1" applyFont="1" applyFill="1" applyBorder="1" applyProtection="1"/>
    <xf numFmtId="2" fontId="9" fillId="6" borderId="0" xfId="0" applyNumberFormat="1" applyFont="1" applyFill="1" applyBorder="1" applyAlignment="1" applyProtection="1">
      <alignment horizontal="center"/>
    </xf>
    <xf numFmtId="1" fontId="4" fillId="6" borderId="0" xfId="0" applyNumberFormat="1" applyFont="1" applyFill="1" applyBorder="1" applyProtection="1"/>
    <xf numFmtId="164" fontId="9" fillId="6" borderId="0" xfId="0" applyNumberFormat="1" applyFont="1" applyFill="1" applyBorder="1" applyAlignment="1" applyProtection="1">
      <alignment horizontal="center"/>
    </xf>
    <xf numFmtId="0" fontId="2" fillId="0" borderId="0" xfId="0" applyFont="1"/>
    <xf numFmtId="49" fontId="30" fillId="5" borderId="0" xfId="0" applyNumberFormat="1" applyFont="1" applyFill="1" applyBorder="1"/>
    <xf numFmtId="166" fontId="30" fillId="5" borderId="0" xfId="0" applyNumberFormat="1" applyFont="1" applyFill="1" applyBorder="1"/>
    <xf numFmtId="20" fontId="30" fillId="5" borderId="0" xfId="0" applyNumberFormat="1" applyFont="1" applyFill="1" applyBorder="1" applyAlignment="1">
      <alignment horizontal="right"/>
    </xf>
    <xf numFmtId="0" fontId="30" fillId="5" borderId="0" xfId="0" applyFont="1" applyFill="1" applyBorder="1" applyAlignment="1">
      <alignment horizontal="right"/>
    </xf>
    <xf numFmtId="0" fontId="4" fillId="6" borderId="0" xfId="0" applyFont="1" applyFill="1" applyBorder="1" applyProtection="1"/>
    <xf numFmtId="2" fontId="9" fillId="6" borderId="8" xfId="0" applyNumberFormat="1" applyFont="1" applyFill="1" applyBorder="1" applyAlignment="1" applyProtection="1">
      <alignment horizontal="center"/>
    </xf>
    <xf numFmtId="2" fontId="9" fillId="6" borderId="0" xfId="0" applyNumberFormat="1" applyFont="1" applyFill="1" applyBorder="1" applyProtection="1"/>
    <xf numFmtId="164" fontId="4" fillId="6" borderId="0" xfId="0" applyNumberFormat="1" applyFont="1" applyFill="1" applyBorder="1" applyProtection="1"/>
    <xf numFmtId="167" fontId="27" fillId="13" borderId="0" xfId="0" applyNumberFormat="1" applyFont="1" applyFill="1" applyAlignment="1">
      <alignment horizontal="center"/>
    </xf>
    <xf numFmtId="2" fontId="27" fillId="13" borderId="0" xfId="0" applyNumberFormat="1" applyFont="1" applyFill="1" applyAlignment="1">
      <alignment horizontal="center"/>
    </xf>
    <xf numFmtId="2" fontId="27" fillId="6" borderId="13" xfId="0" applyNumberFormat="1" applyFont="1" applyFill="1" applyBorder="1"/>
    <xf numFmtId="166" fontId="5" fillId="6" borderId="14" xfId="0" applyNumberFormat="1" applyFont="1" applyFill="1" applyBorder="1" applyAlignment="1">
      <alignment horizontal="center"/>
    </xf>
    <xf numFmtId="165" fontId="5" fillId="6" borderId="0" xfId="0" applyNumberFormat="1" applyFont="1" applyFill="1"/>
    <xf numFmtId="2" fontId="4" fillId="6" borderId="12" xfId="0" applyNumberFormat="1" applyFont="1" applyFill="1" applyBorder="1" applyProtection="1"/>
    <xf numFmtId="2" fontId="4" fillId="6" borderId="0" xfId="0" applyNumberFormat="1" applyFont="1" applyFill="1"/>
    <xf numFmtId="167" fontId="4" fillId="19" borderId="0" xfId="0" applyNumberFormat="1" applyFont="1" applyFill="1"/>
    <xf numFmtId="164" fontId="9" fillId="6" borderId="15" xfId="0" applyNumberFormat="1" applyFont="1" applyFill="1" applyBorder="1" applyAlignment="1" applyProtection="1">
      <alignment horizontal="center"/>
    </xf>
    <xf numFmtId="0" fontId="9" fillId="6" borderId="0" xfId="0" applyFont="1" applyFill="1" applyAlignment="1" applyProtection="1">
      <alignment horizontal="center"/>
    </xf>
    <xf numFmtId="167" fontId="5" fillId="6" borderId="0" xfId="0" applyNumberFormat="1" applyFont="1" applyFill="1" applyBorder="1" applyAlignment="1" applyProtection="1">
      <alignment horizontal="center"/>
    </xf>
    <xf numFmtId="167" fontId="27" fillId="6" borderId="8" xfId="0" applyNumberFormat="1" applyFont="1" applyFill="1" applyBorder="1" applyProtection="1"/>
    <xf numFmtId="165" fontId="27" fillId="4" borderId="0" xfId="0" applyNumberFormat="1" applyFont="1" applyFill="1" applyBorder="1" applyProtection="1"/>
    <xf numFmtId="1" fontId="9" fillId="13" borderId="9" xfId="0" applyNumberFormat="1" applyFont="1" applyFill="1" applyBorder="1" applyAlignment="1" applyProtection="1">
      <alignment horizontal="center"/>
    </xf>
    <xf numFmtId="167" fontId="9" fillId="13" borderId="10" xfId="0" applyNumberFormat="1" applyFont="1" applyFill="1" applyBorder="1" applyAlignment="1" applyProtection="1">
      <alignment horizontal="center"/>
    </xf>
    <xf numFmtId="167" fontId="9" fillId="13" borderId="11" xfId="0" applyNumberFormat="1" applyFont="1" applyFill="1" applyBorder="1" applyAlignment="1" applyProtection="1">
      <alignment horizontal="center"/>
    </xf>
    <xf numFmtId="165" fontId="9" fillId="6" borderId="0" xfId="0" applyNumberFormat="1" applyFont="1" applyFill="1" applyBorder="1" applyAlignment="1" applyProtection="1">
      <alignment horizontal="center"/>
    </xf>
    <xf numFmtId="165" fontId="29" fillId="6" borderId="0" xfId="0" applyNumberFormat="1" applyFont="1" applyFill="1" applyAlignment="1" applyProtection="1">
      <alignment horizontal="center"/>
    </xf>
    <xf numFmtId="167" fontId="5" fillId="6" borderId="0" xfId="0" applyNumberFormat="1" applyFont="1" applyFill="1" applyBorder="1" applyAlignment="1" applyProtection="1"/>
    <xf numFmtId="167" fontId="5" fillId="6" borderId="8" xfId="0" applyNumberFormat="1" applyFont="1" applyFill="1" applyBorder="1" applyAlignment="1" applyProtection="1"/>
    <xf numFmtId="165" fontId="4" fillId="6" borderId="0" xfId="0" quotePrefix="1" applyNumberFormat="1" applyFont="1" applyFill="1" applyBorder="1" applyProtection="1"/>
    <xf numFmtId="166" fontId="5" fillId="4" borderId="0" xfId="0" applyNumberFormat="1" applyFont="1" applyFill="1" applyBorder="1" applyAlignment="1" applyProtection="1">
      <alignment horizontal="center"/>
    </xf>
    <xf numFmtId="2" fontId="27" fillId="4" borderId="0" xfId="0" applyNumberFormat="1" applyFont="1" applyFill="1" applyBorder="1" applyProtection="1"/>
    <xf numFmtId="165" fontId="29" fillId="6" borderId="0" xfId="0" applyNumberFormat="1" applyFont="1" applyFill="1" applyBorder="1" applyAlignment="1" applyProtection="1">
      <alignment horizontal="center"/>
    </xf>
    <xf numFmtId="0" fontId="9" fillId="6" borderId="0" xfId="0" applyFont="1" applyFill="1" applyProtection="1"/>
    <xf numFmtId="166" fontId="29" fillId="6" borderId="0" xfId="0" applyNumberFormat="1" applyFont="1" applyFill="1" applyBorder="1" applyAlignment="1" applyProtection="1">
      <alignment horizontal="center"/>
    </xf>
    <xf numFmtId="165" fontId="9" fillId="6" borderId="14" xfId="0" applyNumberFormat="1" applyFont="1" applyFill="1" applyBorder="1" applyAlignment="1" applyProtection="1">
      <alignment horizontal="center"/>
    </xf>
    <xf numFmtId="2" fontId="9" fillId="6" borderId="16" xfId="0" applyNumberFormat="1" applyFont="1" applyFill="1" applyBorder="1" applyAlignment="1" applyProtection="1">
      <alignment horizontal="center"/>
    </xf>
    <xf numFmtId="2" fontId="9" fillId="6" borderId="17" xfId="0" applyNumberFormat="1" applyFont="1" applyFill="1" applyBorder="1" applyAlignment="1" applyProtection="1">
      <alignment horizontal="center"/>
    </xf>
    <xf numFmtId="2" fontId="9" fillId="6" borderId="0" xfId="0" applyNumberFormat="1" applyFont="1" applyFill="1" applyProtection="1"/>
    <xf numFmtId="166" fontId="9" fillId="6" borderId="16" xfId="0" applyNumberFormat="1" applyFont="1" applyFill="1" applyBorder="1" applyAlignment="1" applyProtection="1">
      <alignment horizontal="center"/>
    </xf>
    <xf numFmtId="166" fontId="9" fillId="6" borderId="17" xfId="0" applyNumberFormat="1" applyFont="1" applyFill="1" applyBorder="1" applyAlignment="1" applyProtection="1">
      <alignment horizontal="center"/>
    </xf>
    <xf numFmtId="165" fontId="9" fillId="6" borderId="2" xfId="0" applyNumberFormat="1" applyFont="1" applyFill="1" applyBorder="1" applyAlignment="1" applyProtection="1">
      <alignment horizontal="center"/>
    </xf>
    <xf numFmtId="2" fontId="9" fillId="6" borderId="3" xfId="0" applyNumberFormat="1" applyFont="1" applyFill="1" applyBorder="1" applyAlignment="1" applyProtection="1">
      <alignment horizontal="center"/>
    </xf>
    <xf numFmtId="2" fontId="9" fillId="6" borderId="18" xfId="0" applyNumberFormat="1" applyFont="1" applyFill="1" applyBorder="1" applyAlignment="1" applyProtection="1">
      <alignment horizontal="center"/>
    </xf>
    <xf numFmtId="2" fontId="9" fillId="6" borderId="3" xfId="2" applyNumberFormat="1" applyFont="1" applyFill="1" applyBorder="1" applyAlignment="1" applyProtection="1">
      <alignment horizontal="center"/>
    </xf>
    <xf numFmtId="2" fontId="29" fillId="6" borderId="3" xfId="0" applyNumberFormat="1" applyFont="1" applyFill="1" applyBorder="1" applyProtection="1"/>
    <xf numFmtId="166" fontId="9" fillId="6" borderId="3" xfId="0" applyNumberFormat="1" applyFont="1" applyFill="1" applyBorder="1" applyAlignment="1" applyProtection="1">
      <alignment horizontal="center"/>
    </xf>
    <xf numFmtId="166" fontId="9" fillId="6" borderId="18" xfId="0" applyNumberFormat="1" applyFont="1" applyFill="1" applyBorder="1" applyAlignment="1" applyProtection="1">
      <alignment horizontal="center"/>
    </xf>
    <xf numFmtId="49" fontId="30" fillId="0" borderId="3" xfId="0" applyNumberFormat="1" applyFont="1" applyFill="1" applyBorder="1"/>
    <xf numFmtId="166" fontId="30" fillId="0" borderId="3" xfId="0" applyNumberFormat="1" applyFont="1" applyFill="1" applyBorder="1"/>
    <xf numFmtId="166" fontId="30" fillId="0" borderId="3" xfId="0" applyNumberFormat="1" applyFont="1" applyBorder="1"/>
    <xf numFmtId="20" fontId="30" fillId="0" borderId="3" xfId="0" applyNumberFormat="1" applyFont="1" applyFill="1" applyBorder="1" applyAlignment="1">
      <alignment horizontal="right"/>
    </xf>
    <xf numFmtId="0" fontId="30" fillId="0" borderId="3" xfId="0" applyFont="1" applyFill="1" applyBorder="1" applyAlignment="1">
      <alignment horizontal="right"/>
    </xf>
    <xf numFmtId="1" fontId="27" fillId="6" borderId="1" xfId="0" applyNumberFormat="1" applyFont="1" applyFill="1" applyBorder="1"/>
    <xf numFmtId="167" fontId="5" fillId="6" borderId="2" xfId="0" applyNumberFormat="1" applyFont="1" applyFill="1" applyBorder="1" applyAlignment="1">
      <alignment horizontal="center"/>
    </xf>
    <xf numFmtId="167" fontId="5" fillId="6" borderId="0" xfId="0" applyNumberFormat="1" applyFont="1" applyFill="1"/>
    <xf numFmtId="167" fontId="24" fillId="6" borderId="6" xfId="0" applyNumberFormat="1" applyFont="1" applyFill="1" applyBorder="1" applyAlignment="1">
      <alignment horizontal="center"/>
    </xf>
    <xf numFmtId="2" fontId="4" fillId="19" borderId="1" xfId="0" applyNumberFormat="1" applyFont="1" applyFill="1" applyBorder="1"/>
    <xf numFmtId="165" fontId="9" fillId="13" borderId="9" xfId="0" applyNumberFormat="1" applyFont="1" applyFill="1" applyBorder="1" applyAlignment="1" applyProtection="1">
      <alignment horizontal="center"/>
    </xf>
    <xf numFmtId="165" fontId="9" fillId="13" borderId="10" xfId="0" applyNumberFormat="1" applyFont="1" applyFill="1" applyBorder="1" applyAlignment="1" applyProtection="1">
      <alignment horizontal="center"/>
    </xf>
    <xf numFmtId="165" fontId="9" fillId="13" borderId="11" xfId="0" applyNumberFormat="1" applyFont="1" applyFill="1" applyBorder="1" applyAlignment="1" applyProtection="1">
      <alignment horizontal="center"/>
    </xf>
    <xf numFmtId="2" fontId="5" fillId="4" borderId="0" xfId="0" applyNumberFormat="1" applyFont="1" applyFill="1" applyBorder="1" applyAlignment="1" applyProtection="1">
      <alignment horizontal="center"/>
    </xf>
    <xf numFmtId="165" fontId="9" fillId="6" borderId="15" xfId="0" applyNumberFormat="1" applyFont="1" applyFill="1" applyBorder="1" applyAlignment="1" applyProtection="1">
      <alignment horizontal="center"/>
    </xf>
    <xf numFmtId="2" fontId="9" fillId="6" borderId="19" xfId="0" applyNumberFormat="1" applyFont="1" applyFill="1" applyBorder="1" applyAlignment="1" applyProtection="1">
      <alignment horizontal="center"/>
    </xf>
    <xf numFmtId="2" fontId="9" fillId="6" borderId="20" xfId="0" applyNumberFormat="1" applyFont="1" applyFill="1" applyBorder="1" applyAlignment="1" applyProtection="1">
      <alignment horizontal="center"/>
    </xf>
    <xf numFmtId="44" fontId="31" fillId="6" borderId="0" xfId="2" applyFont="1" applyFill="1" applyBorder="1" applyAlignment="1" applyProtection="1">
      <alignment horizontal="center"/>
      <protection hidden="1"/>
    </xf>
    <xf numFmtId="169" fontId="4" fillId="6" borderId="0" xfId="2" applyNumberFormat="1" applyFont="1" applyFill="1" applyBorder="1" applyAlignment="1" applyProtection="1">
      <alignment horizontal="center"/>
      <protection hidden="1"/>
    </xf>
    <xf numFmtId="172" fontId="29" fillId="6" borderId="0" xfId="2" applyNumberFormat="1" applyFont="1" applyFill="1" applyBorder="1" applyAlignment="1" applyProtection="1">
      <alignment horizontal="center"/>
      <protection hidden="1"/>
    </xf>
    <xf numFmtId="169" fontId="9" fillId="6" borderId="0" xfId="2" applyNumberFormat="1" applyFont="1" applyFill="1" applyBorder="1" applyAlignment="1" applyProtection="1">
      <alignment horizontal="center"/>
      <protection hidden="1"/>
    </xf>
    <xf numFmtId="169" fontId="9" fillId="6" borderId="0" xfId="2" applyNumberFormat="1" applyFont="1" applyFill="1" applyBorder="1" applyAlignment="1" applyProtection="1">
      <protection hidden="1"/>
    </xf>
    <xf numFmtId="44" fontId="4" fillId="6" borderId="0" xfId="2" applyFont="1" applyFill="1" applyBorder="1" applyProtection="1">
      <protection hidden="1"/>
    </xf>
    <xf numFmtId="2" fontId="29" fillId="6" borderId="2" xfId="0" applyNumberFormat="1" applyFont="1" applyFill="1" applyBorder="1" applyProtection="1"/>
    <xf numFmtId="44" fontId="32" fillId="6" borderId="0" xfId="2" applyFont="1" applyFill="1" applyBorder="1" applyAlignment="1" applyProtection="1">
      <alignment horizontal="center"/>
      <protection hidden="1"/>
    </xf>
    <xf numFmtId="44" fontId="29" fillId="6" borderId="0" xfId="2" applyFont="1" applyFill="1" applyBorder="1" applyAlignment="1" applyProtection="1">
      <alignment horizontal="center"/>
      <protection hidden="1"/>
    </xf>
    <xf numFmtId="44" fontId="4" fillId="6" borderId="0" xfId="2" applyFont="1" applyFill="1" applyBorder="1" applyAlignment="1" applyProtection="1">
      <protection hidden="1"/>
    </xf>
    <xf numFmtId="169" fontId="9" fillId="13" borderId="0" xfId="2" applyNumberFormat="1" applyFont="1" applyFill="1" applyBorder="1" applyAlignment="1" applyProtection="1">
      <alignment horizontal="center"/>
      <protection hidden="1"/>
    </xf>
    <xf numFmtId="44" fontId="9" fillId="6" borderId="0" xfId="2" applyFont="1" applyFill="1" applyBorder="1" applyAlignment="1" applyProtection="1">
      <alignment horizontal="center"/>
      <protection hidden="1"/>
    </xf>
    <xf numFmtId="44" fontId="24" fillId="6" borderId="0" xfId="2" applyFont="1" applyFill="1" applyBorder="1" applyAlignment="1" applyProtection="1">
      <alignment horizontal="center"/>
      <protection hidden="1"/>
    </xf>
    <xf numFmtId="173" fontId="4" fillId="6" borderId="0" xfId="0" applyNumberFormat="1" applyFont="1" applyFill="1" applyProtection="1"/>
    <xf numFmtId="0" fontId="9" fillId="6" borderId="0" xfId="0" applyFont="1" applyFill="1" applyBorder="1" applyAlignment="1" applyProtection="1">
      <alignment horizontal="center"/>
    </xf>
    <xf numFmtId="166" fontId="4" fillId="6" borderId="0" xfId="0" applyNumberFormat="1" applyFont="1" applyFill="1" applyProtection="1"/>
    <xf numFmtId="166" fontId="9" fillId="6" borderId="0" xfId="0" applyNumberFormat="1" applyFont="1" applyFill="1" applyAlignment="1" applyProtection="1">
      <alignment horizontal="center"/>
    </xf>
    <xf numFmtId="173" fontId="4" fillId="6" borderId="0" xfId="0" applyNumberFormat="1" applyFont="1" applyFill="1" applyBorder="1" applyProtection="1"/>
    <xf numFmtId="167" fontId="29" fillId="6" borderId="0" xfId="0" applyNumberFormat="1" applyFont="1" applyFill="1" applyBorder="1" applyAlignment="1" applyProtection="1">
      <alignment horizontal="center"/>
    </xf>
    <xf numFmtId="167" fontId="9" fillId="6" borderId="0" xfId="0" applyNumberFormat="1" applyFont="1" applyFill="1" applyBorder="1" applyAlignment="1" applyProtection="1">
      <alignment horizontal="center"/>
    </xf>
    <xf numFmtId="1" fontId="33" fillId="2" borderId="0" xfId="0" applyNumberFormat="1" applyFont="1" applyFill="1" applyBorder="1" applyAlignment="1" applyProtection="1">
      <alignment horizontal="center"/>
      <protection hidden="1"/>
    </xf>
    <xf numFmtId="167" fontId="28" fillId="6" borderId="11" xfId="0" applyNumberFormat="1" applyFont="1" applyFill="1" applyBorder="1" applyAlignment="1" applyProtection="1">
      <alignment horizontal="center"/>
      <protection hidden="1"/>
    </xf>
    <xf numFmtId="1" fontId="28" fillId="6" borderId="1" xfId="0" applyNumberFormat="1" applyFont="1" applyFill="1" applyBorder="1" applyAlignment="1" applyProtection="1">
      <alignment horizontal="center"/>
      <protection hidden="1"/>
    </xf>
    <xf numFmtId="1" fontId="5" fillId="2" borderId="1" xfId="0" applyNumberFormat="1" applyFont="1" applyFill="1" applyBorder="1" applyAlignment="1" applyProtection="1">
      <alignment horizontal="center"/>
      <protection hidden="1"/>
    </xf>
    <xf numFmtId="1" fontId="5" fillId="2" borderId="1" xfId="0" applyNumberFormat="1" applyFont="1" applyFill="1" applyBorder="1" applyAlignment="1" applyProtection="1">
      <protection hidden="1"/>
    </xf>
    <xf numFmtId="0" fontId="3" fillId="2" borderId="0" xfId="0" applyFont="1" applyFill="1" applyBorder="1" applyProtection="1">
      <protection hidden="1"/>
    </xf>
    <xf numFmtId="0" fontId="27" fillId="2" borderId="0" xfId="0" applyFont="1" applyFill="1" applyProtection="1">
      <protection hidden="1"/>
    </xf>
    <xf numFmtId="166" fontId="9" fillId="6" borderId="0" xfId="0" applyNumberFormat="1" applyFont="1" applyFill="1" applyBorder="1" applyProtection="1"/>
    <xf numFmtId="0" fontId="9" fillId="6" borderId="0" xfId="0" applyFont="1" applyFill="1" applyBorder="1" applyProtection="1"/>
    <xf numFmtId="0" fontId="34" fillId="6" borderId="0" xfId="0" applyFont="1" applyFill="1" applyBorder="1" applyAlignment="1" applyProtection="1">
      <alignment horizontal="center"/>
    </xf>
    <xf numFmtId="1" fontId="35" fillId="2" borderId="0" xfId="0" applyNumberFormat="1" applyFont="1" applyFill="1" applyBorder="1" applyAlignment="1" applyProtection="1">
      <protection hidden="1"/>
    </xf>
    <xf numFmtId="1" fontId="36" fillId="2" borderId="0" xfId="0" applyNumberFormat="1" applyFont="1" applyFill="1" applyBorder="1" applyAlignment="1" applyProtection="1">
      <alignment horizontal="center"/>
      <protection hidden="1"/>
    </xf>
    <xf numFmtId="165" fontId="3" fillId="2" borderId="0" xfId="0" applyNumberFormat="1" applyFont="1" applyFill="1" applyBorder="1" applyAlignment="1" applyProtection="1">
      <protection hidden="1"/>
    </xf>
    <xf numFmtId="165" fontId="37" fillId="20" borderId="0" xfId="0" applyNumberFormat="1" applyFont="1" applyFill="1" applyAlignment="1" applyProtection="1">
      <alignment horizontal="center"/>
      <protection hidden="1"/>
    </xf>
    <xf numFmtId="165" fontId="6" fillId="2" borderId="0" xfId="0" applyNumberFormat="1" applyFont="1" applyFill="1" applyAlignment="1" applyProtection="1">
      <alignment horizontal="center"/>
      <protection hidden="1"/>
    </xf>
    <xf numFmtId="165" fontId="38" fillId="20" borderId="0" xfId="0" applyNumberFormat="1" applyFont="1" applyFill="1" applyAlignment="1" applyProtection="1">
      <alignment horizontal="center"/>
      <protection hidden="1"/>
    </xf>
    <xf numFmtId="166" fontId="3" fillId="2" borderId="0" xfId="0" applyNumberFormat="1" applyFont="1" applyFill="1" applyAlignment="1" applyProtection="1">
      <protection hidden="1"/>
    </xf>
    <xf numFmtId="165" fontId="37" fillId="20" borderId="0" xfId="0" applyNumberFormat="1" applyFont="1" applyFill="1" applyBorder="1" applyAlignment="1" applyProtection="1">
      <alignment horizontal="center"/>
      <protection hidden="1"/>
    </xf>
    <xf numFmtId="165" fontId="3" fillId="2" borderId="0" xfId="0" applyNumberFormat="1" applyFont="1" applyFill="1" applyAlignment="1" applyProtection="1">
      <protection hidden="1"/>
    </xf>
    <xf numFmtId="165" fontId="35" fillId="2" borderId="0" xfId="0" applyNumberFormat="1" applyFont="1" applyFill="1" applyBorder="1" applyAlignment="1" applyProtection="1">
      <protection hidden="1"/>
    </xf>
    <xf numFmtId="165" fontId="6" fillId="4" borderId="1" xfId="0" applyNumberFormat="1" applyFont="1" applyFill="1" applyBorder="1" applyAlignment="1" applyProtection="1">
      <alignment horizontal="center"/>
      <protection hidden="1"/>
    </xf>
    <xf numFmtId="1" fontId="5" fillId="4" borderId="0" xfId="0" applyNumberFormat="1" applyFont="1" applyFill="1" applyAlignment="1" applyProtection="1">
      <alignment horizontal="center"/>
      <protection hidden="1"/>
    </xf>
    <xf numFmtId="166" fontId="3" fillId="2" borderId="0" xfId="0" applyNumberFormat="1" applyFont="1" applyFill="1" applyBorder="1" applyProtection="1">
      <protection hidden="1"/>
    </xf>
    <xf numFmtId="165" fontId="36" fillId="2" borderId="0" xfId="0" applyNumberFormat="1" applyFont="1" applyFill="1" applyAlignment="1" applyProtection="1">
      <protection hidden="1"/>
    </xf>
    <xf numFmtId="1" fontId="29" fillId="2" borderId="0" xfId="0" applyNumberFormat="1" applyFont="1" applyFill="1" applyAlignment="1" applyProtection="1">
      <protection hidden="1"/>
    </xf>
    <xf numFmtId="173" fontId="36" fillId="2" borderId="0" xfId="0" applyNumberFormat="1" applyFont="1" applyFill="1" applyAlignment="1" applyProtection="1">
      <protection hidden="1"/>
    </xf>
    <xf numFmtId="2" fontId="8" fillId="6" borderId="0" xfId="0" applyNumberFormat="1" applyFont="1" applyFill="1" applyBorder="1" applyAlignment="1" applyProtection="1">
      <alignment horizontal="center"/>
    </xf>
    <xf numFmtId="165" fontId="36" fillId="2" borderId="0" xfId="0" applyNumberFormat="1" applyFont="1" applyFill="1" applyBorder="1" applyAlignment="1" applyProtection="1">
      <protection hidden="1"/>
    </xf>
    <xf numFmtId="165" fontId="27" fillId="4" borderId="0" xfId="0" applyNumberFormat="1" applyFont="1" applyFill="1" applyAlignment="1" applyProtection="1">
      <protection hidden="1"/>
    </xf>
    <xf numFmtId="1" fontId="4" fillId="5" borderId="0" xfId="0" applyNumberFormat="1" applyFont="1" applyFill="1" applyAlignment="1" applyProtection="1">
      <protection hidden="1"/>
    </xf>
    <xf numFmtId="2" fontId="3" fillId="4" borderId="1" xfId="0" applyNumberFormat="1" applyFont="1" applyFill="1" applyBorder="1" applyAlignment="1" applyProtection="1">
      <protection hidden="1"/>
    </xf>
    <xf numFmtId="1" fontId="3" fillId="2" borderId="0" xfId="0" applyNumberFormat="1" applyFont="1" applyFill="1" applyAlignment="1" applyProtection="1">
      <protection hidden="1"/>
    </xf>
    <xf numFmtId="1" fontId="3" fillId="2" borderId="0" xfId="0" applyNumberFormat="1" applyFont="1" applyFill="1" applyBorder="1" applyProtection="1">
      <protection hidden="1"/>
    </xf>
    <xf numFmtId="165" fontId="3" fillId="2" borderId="0" xfId="0" applyNumberFormat="1" applyFont="1" applyFill="1" applyBorder="1" applyAlignment="1" applyProtection="1">
      <alignment horizontal="center"/>
      <protection hidden="1"/>
    </xf>
    <xf numFmtId="165" fontId="39" fillId="21" borderId="0" xfId="0" applyNumberFormat="1" applyFont="1" applyFill="1" applyAlignment="1" applyProtection="1">
      <protection hidden="1"/>
    </xf>
    <xf numFmtId="2" fontId="3" fillId="2" borderId="0" xfId="0" applyNumberFormat="1" applyFont="1" applyFill="1" applyAlignment="1" applyProtection="1">
      <protection hidden="1"/>
    </xf>
    <xf numFmtId="164" fontId="3" fillId="2" borderId="0" xfId="0" applyNumberFormat="1" applyFont="1" applyFill="1" applyBorder="1" applyProtection="1">
      <protection hidden="1"/>
    </xf>
    <xf numFmtId="1" fontId="24" fillId="2" borderId="4" xfId="0" applyNumberFormat="1" applyFont="1" applyFill="1" applyBorder="1" applyAlignment="1" applyProtection="1">
      <alignment horizontal="center"/>
      <protection hidden="1"/>
    </xf>
    <xf numFmtId="165" fontId="39" fillId="20" borderId="3" xfId="0" applyNumberFormat="1" applyFont="1" applyFill="1" applyBorder="1" applyAlignment="1" applyProtection="1">
      <protection hidden="1"/>
    </xf>
    <xf numFmtId="1" fontId="24" fillId="2" borderId="13" xfId="0" applyNumberFormat="1" applyFont="1" applyFill="1" applyBorder="1" applyAlignment="1" applyProtection="1">
      <alignment horizontal="center"/>
      <protection hidden="1"/>
    </xf>
    <xf numFmtId="2" fontId="3" fillId="4" borderId="0" xfId="0" applyNumberFormat="1" applyFont="1" applyFill="1" applyProtection="1">
      <protection hidden="1"/>
    </xf>
    <xf numFmtId="0" fontId="3" fillId="2" borderId="0" xfId="0" applyFont="1" applyFill="1" applyProtection="1">
      <protection hidden="1"/>
    </xf>
    <xf numFmtId="0" fontId="5" fillId="4" borderId="0" xfId="0" applyFont="1" applyFill="1" applyProtection="1">
      <protection hidden="1"/>
    </xf>
    <xf numFmtId="165" fontId="27" fillId="2" borderId="0" xfId="0" applyNumberFormat="1" applyFont="1" applyFill="1" applyBorder="1" applyAlignment="1" applyProtection="1">
      <protection hidden="1"/>
    </xf>
    <xf numFmtId="2" fontId="3" fillId="2" borderId="0" xfId="0" applyNumberFormat="1" applyFont="1" applyFill="1" applyBorder="1" applyProtection="1">
      <protection hidden="1"/>
    </xf>
    <xf numFmtId="165" fontId="5" fillId="2" borderId="0" xfId="0" applyNumberFormat="1" applyFont="1" applyFill="1" applyBorder="1" applyAlignment="1" applyProtection="1">
      <protection hidden="1"/>
    </xf>
    <xf numFmtId="167" fontId="3" fillId="4" borderId="3" xfId="0" applyNumberFormat="1" applyFont="1" applyFill="1" applyBorder="1" applyAlignment="1" applyProtection="1">
      <protection hidden="1"/>
    </xf>
    <xf numFmtId="167" fontId="27" fillId="2" borderId="11" xfId="0" applyNumberFormat="1" applyFont="1" applyFill="1" applyBorder="1" applyAlignment="1" applyProtection="1">
      <protection hidden="1"/>
    </xf>
    <xf numFmtId="167" fontId="3" fillId="2" borderId="0" xfId="0" applyNumberFormat="1" applyFont="1" applyFill="1" applyAlignment="1" applyProtection="1">
      <protection hidden="1"/>
    </xf>
    <xf numFmtId="167" fontId="4" fillId="9" borderId="0" xfId="0" applyNumberFormat="1" applyFont="1" applyFill="1" applyAlignment="1" applyProtection="1">
      <protection hidden="1"/>
    </xf>
    <xf numFmtId="167" fontId="3" fillId="2" borderId="0" xfId="0" applyNumberFormat="1" applyFont="1" applyFill="1" applyBorder="1" applyProtection="1">
      <protection hidden="1"/>
    </xf>
    <xf numFmtId="167" fontId="28" fillId="6" borderId="0" xfId="0" applyNumberFormat="1" applyFont="1" applyFill="1" applyBorder="1" applyProtection="1">
      <protection hidden="1"/>
    </xf>
    <xf numFmtId="0" fontId="28" fillId="6" borderId="0" xfId="0" applyFont="1" applyFill="1" applyBorder="1" applyProtection="1">
      <protection hidden="1"/>
    </xf>
    <xf numFmtId="165" fontId="39" fillId="21" borderId="0" xfId="0" applyNumberFormat="1" applyFont="1" applyFill="1" applyProtection="1">
      <protection hidden="1"/>
    </xf>
    <xf numFmtId="167" fontId="4" fillId="2" borderId="0" xfId="0" applyNumberFormat="1" applyFont="1" applyFill="1" applyBorder="1" applyAlignment="1" applyProtection="1">
      <protection hidden="1"/>
    </xf>
    <xf numFmtId="167" fontId="3" fillId="2" borderId="0" xfId="1" applyNumberFormat="1" applyFont="1" applyFill="1" applyAlignment="1" applyProtection="1">
      <protection hidden="1"/>
    </xf>
    <xf numFmtId="167" fontId="4" fillId="4" borderId="9" xfId="0" applyNumberFormat="1" applyFont="1" applyFill="1" applyBorder="1" applyAlignment="1" applyProtection="1">
      <alignment horizontal="center"/>
      <protection hidden="1"/>
    </xf>
    <xf numFmtId="167" fontId="24" fillId="6" borderId="3" xfId="0" applyNumberFormat="1" applyFont="1" applyFill="1" applyBorder="1" applyProtection="1">
      <protection hidden="1"/>
    </xf>
    <xf numFmtId="0" fontId="2" fillId="5" borderId="3" xfId="0" applyFont="1" applyFill="1" applyBorder="1" applyProtection="1">
      <protection hidden="1"/>
    </xf>
    <xf numFmtId="165" fontId="3" fillId="2" borderId="0" xfId="0" applyNumberFormat="1" applyFont="1" applyFill="1" applyProtection="1">
      <protection hidden="1"/>
    </xf>
    <xf numFmtId="2" fontId="3" fillId="2" borderId="0" xfId="0" applyNumberFormat="1" applyFont="1" applyFill="1" applyProtection="1">
      <protection hidden="1"/>
    </xf>
    <xf numFmtId="167" fontId="3" fillId="2" borderId="0" xfId="0" applyNumberFormat="1" applyFont="1" applyFill="1" applyBorder="1" applyAlignment="1" applyProtection="1">
      <alignment horizontal="center"/>
      <protection hidden="1"/>
    </xf>
    <xf numFmtId="0" fontId="4" fillId="5" borderId="3" xfId="0" applyFont="1" applyFill="1" applyBorder="1" applyProtection="1">
      <protection hidden="1"/>
    </xf>
    <xf numFmtId="165" fontId="9" fillId="6" borderId="0" xfId="0" applyNumberFormat="1" applyFont="1" applyFill="1" applyBorder="1" applyProtection="1"/>
    <xf numFmtId="165" fontId="3" fillId="2" borderId="0" xfId="1" applyNumberFormat="1" applyFont="1" applyFill="1" applyAlignment="1" applyProtection="1">
      <protection hidden="1"/>
    </xf>
    <xf numFmtId="165" fontId="3" fillId="2" borderId="0" xfId="1" applyNumberFormat="1" applyFont="1" applyFill="1" applyBorder="1" applyAlignment="1" applyProtection="1">
      <protection hidden="1"/>
    </xf>
    <xf numFmtId="164" fontId="3" fillId="2" borderId="0" xfId="1" applyNumberFormat="1" applyFont="1" applyFill="1" applyAlignment="1" applyProtection="1">
      <protection hidden="1"/>
    </xf>
    <xf numFmtId="168" fontId="3" fillId="2" borderId="0" xfId="1" applyNumberFormat="1" applyFont="1" applyFill="1" applyBorder="1" applyAlignment="1" applyProtection="1">
      <protection hidden="1"/>
    </xf>
    <xf numFmtId="166" fontId="6" fillId="2" borderId="0" xfId="0" applyNumberFormat="1" applyFont="1" applyFill="1" applyBorder="1" applyProtection="1">
      <protection hidden="1"/>
    </xf>
    <xf numFmtId="0" fontId="27" fillId="2" borderId="0" xfId="0" applyFont="1" applyFill="1" applyBorder="1" applyProtection="1">
      <protection hidden="1"/>
    </xf>
    <xf numFmtId="166" fontId="3" fillId="2" borderId="0" xfId="1" applyNumberFormat="1" applyFont="1" applyFill="1" applyBorder="1" applyAlignment="1" applyProtection="1">
      <protection hidden="1"/>
    </xf>
    <xf numFmtId="168" fontId="4" fillId="6" borderId="0" xfId="0" applyNumberFormat="1" applyFont="1" applyFill="1" applyBorder="1" applyProtection="1"/>
    <xf numFmtId="166" fontId="3" fillId="2" borderId="0" xfId="1" applyNumberFormat="1" applyFont="1" applyFill="1" applyAlignment="1" applyProtection="1">
      <protection hidden="1"/>
    </xf>
    <xf numFmtId="165" fontId="36" fillId="2" borderId="0" xfId="1" applyNumberFormat="1" applyFont="1" applyFill="1" applyBorder="1" applyAlignment="1" applyProtection="1">
      <protection hidden="1"/>
    </xf>
    <xf numFmtId="166" fontId="5" fillId="4" borderId="1" xfId="0" applyNumberFormat="1" applyFont="1" applyFill="1" applyBorder="1" applyProtection="1">
      <protection hidden="1"/>
    </xf>
    <xf numFmtId="167" fontId="4" fillId="5" borderId="1" xfId="0" applyNumberFormat="1" applyFont="1" applyFill="1" applyBorder="1" applyProtection="1">
      <protection hidden="1"/>
    </xf>
    <xf numFmtId="165" fontId="3" fillId="2" borderId="0" xfId="1" applyNumberFormat="1" applyFont="1" applyFill="1" applyBorder="1" applyAlignment="1" applyProtection="1">
      <alignment horizontal="center"/>
      <protection hidden="1"/>
    </xf>
    <xf numFmtId="165" fontId="3" fillId="2" borderId="0" xfId="1" applyNumberFormat="1" applyFont="1" applyFill="1" applyAlignment="1" applyProtection="1">
      <alignment horizontal="center"/>
      <protection hidden="1"/>
    </xf>
    <xf numFmtId="166" fontId="3" fillId="2" borderId="0" xfId="1" applyNumberFormat="1" applyFont="1" applyFill="1" applyAlignment="1" applyProtection="1">
      <alignment horizontal="center"/>
      <protection hidden="1"/>
    </xf>
    <xf numFmtId="1" fontId="3" fillId="2" borderId="0" xfId="0" applyNumberFormat="1" applyFont="1" applyFill="1" applyProtection="1">
      <protection hidden="1"/>
    </xf>
    <xf numFmtId="174" fontId="3" fillId="2" borderId="0" xfId="0" applyNumberFormat="1" applyFont="1" applyFill="1" applyProtection="1">
      <protection hidden="1"/>
    </xf>
    <xf numFmtId="165" fontId="3" fillId="2" borderId="0" xfId="0" applyNumberFormat="1" applyFont="1" applyFill="1" applyAlignment="1" applyProtection="1">
      <alignment horizontal="center"/>
      <protection hidden="1"/>
    </xf>
    <xf numFmtId="166" fontId="3" fillId="2" borderId="0" xfId="0" applyNumberFormat="1" applyFont="1" applyFill="1" applyAlignment="1" applyProtection="1">
      <alignment horizontal="center"/>
      <protection hidden="1"/>
    </xf>
    <xf numFmtId="166" fontId="3" fillId="2" borderId="0" xfId="0" applyNumberFormat="1" applyFont="1" applyFill="1" applyBorder="1" applyAlignment="1" applyProtection="1">
      <alignment horizontal="center"/>
      <protection hidden="1"/>
    </xf>
    <xf numFmtId="165" fontId="27" fillId="2" borderId="0" xfId="0" applyNumberFormat="1" applyFont="1" applyFill="1" applyAlignment="1" applyProtection="1">
      <alignment horizontal="center"/>
      <protection hidden="1"/>
    </xf>
    <xf numFmtId="164" fontId="3" fillId="2" borderId="0" xfId="0" applyNumberFormat="1" applyFont="1" applyFill="1" applyProtection="1">
      <protection hidden="1"/>
    </xf>
    <xf numFmtId="166" fontId="3" fillId="2" borderId="0" xfId="0" applyNumberFormat="1" applyFont="1" applyFill="1" applyProtection="1">
      <protection hidden="1"/>
    </xf>
    <xf numFmtId="1" fontId="31" fillId="2" borderId="21" xfId="0" applyNumberFormat="1" applyFont="1" applyFill="1" applyBorder="1" applyAlignment="1" applyProtection="1">
      <alignment horizontal="center"/>
      <protection hidden="1"/>
    </xf>
    <xf numFmtId="1" fontId="31" fillId="2" borderId="6" xfId="0" applyNumberFormat="1" applyFont="1" applyFill="1" applyBorder="1" applyAlignment="1" applyProtection="1">
      <alignment horizontal="center"/>
      <protection hidden="1"/>
    </xf>
    <xf numFmtId="1" fontId="4" fillId="9" borderId="11" xfId="0" applyNumberFormat="1" applyFont="1" applyFill="1" applyBorder="1" applyAlignment="1" applyProtection="1">
      <alignment horizontal="center"/>
      <protection hidden="1"/>
    </xf>
    <xf numFmtId="167" fontId="4" fillId="9" borderId="1" xfId="0" applyNumberFormat="1" applyFont="1" applyFill="1" applyBorder="1" applyAlignment="1" applyProtection="1">
      <alignment horizontal="center"/>
      <protection hidden="1"/>
    </xf>
    <xf numFmtId="167" fontId="5" fillId="2" borderId="1" xfId="0" applyNumberFormat="1" applyFont="1" applyFill="1" applyBorder="1" applyAlignment="1" applyProtection="1">
      <alignment horizontal="center"/>
      <protection hidden="1"/>
    </xf>
    <xf numFmtId="167" fontId="5" fillId="2" borderId="1" xfId="0" applyNumberFormat="1" applyFont="1" applyFill="1" applyBorder="1" applyAlignment="1" applyProtection="1">
      <protection hidden="1"/>
    </xf>
    <xf numFmtId="0" fontId="35" fillId="2" borderId="0" xfId="0" applyFont="1" applyFill="1" applyBorder="1" applyAlignment="1" applyProtection="1">
      <protection hidden="1"/>
    </xf>
    <xf numFmtId="0" fontId="36" fillId="2" borderId="0" xfId="0" applyFont="1" applyFill="1" applyBorder="1" applyAlignment="1" applyProtection="1">
      <alignment horizontal="center"/>
      <protection hidden="1"/>
    </xf>
    <xf numFmtId="166" fontId="3" fillId="2" borderId="0" xfId="0" applyNumberFormat="1" applyFont="1" applyFill="1" applyBorder="1" applyAlignment="1" applyProtection="1">
      <protection hidden="1"/>
    </xf>
    <xf numFmtId="166" fontId="6" fillId="2" borderId="0" xfId="0" applyNumberFormat="1" applyFont="1" applyFill="1" applyAlignment="1" applyProtection="1">
      <alignment horizontal="center"/>
      <protection hidden="1"/>
    </xf>
    <xf numFmtId="2" fontId="3" fillId="2" borderId="0" xfId="0" applyNumberFormat="1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164" fontId="3" fillId="2" borderId="0" xfId="0" applyNumberFormat="1" applyFont="1" applyFill="1" applyAlignment="1" applyProtection="1">
      <protection hidden="1"/>
    </xf>
    <xf numFmtId="164" fontId="36" fillId="2" borderId="0" xfId="0" applyNumberFormat="1" applyFont="1" applyFill="1" applyAlignment="1" applyProtection="1">
      <protection hidden="1"/>
    </xf>
    <xf numFmtId="2" fontId="36" fillId="2" borderId="0" xfId="0" applyNumberFormat="1" applyFont="1" applyFill="1" applyAlignment="1" applyProtection="1">
      <protection hidden="1"/>
    </xf>
    <xf numFmtId="1" fontId="36" fillId="2" borderId="0" xfId="0" applyNumberFormat="1" applyFont="1" applyFill="1" applyAlignment="1" applyProtection="1">
      <protection hidden="1"/>
    </xf>
    <xf numFmtId="168" fontId="3" fillId="2" borderId="0" xfId="0" applyNumberFormat="1" applyFont="1" applyFill="1" applyBorder="1" applyAlignment="1" applyProtection="1">
      <protection hidden="1"/>
    </xf>
    <xf numFmtId="168" fontId="36" fillId="2" borderId="0" xfId="0" applyNumberFormat="1" applyFont="1" applyFill="1" applyBorder="1" applyAlignment="1" applyProtection="1">
      <protection hidden="1"/>
    </xf>
    <xf numFmtId="1" fontId="3" fillId="4" borderId="1" xfId="0" applyNumberFormat="1" applyFont="1" applyFill="1" applyBorder="1" applyAlignment="1" applyProtection="1">
      <protection hidden="1"/>
    </xf>
    <xf numFmtId="2" fontId="39" fillId="21" borderId="0" xfId="0" applyNumberFormat="1" applyFont="1" applyFill="1" applyAlignment="1" applyProtection="1">
      <protection hidden="1"/>
    </xf>
    <xf numFmtId="167" fontId="5" fillId="4" borderId="0" xfId="0" applyNumberFormat="1" applyFont="1" applyFill="1" applyBorder="1" applyAlignment="1" applyProtection="1">
      <alignment horizontal="center"/>
      <protection hidden="1"/>
    </xf>
    <xf numFmtId="164" fontId="36" fillId="2" borderId="0" xfId="0" applyNumberFormat="1" applyFont="1" applyFill="1" applyBorder="1" applyAlignment="1" applyProtection="1">
      <protection hidden="1"/>
    </xf>
    <xf numFmtId="2" fontId="39" fillId="20" borderId="3" xfId="0" applyNumberFormat="1" applyFont="1" applyFill="1" applyBorder="1" applyAlignment="1" applyProtection="1">
      <protection hidden="1"/>
    </xf>
    <xf numFmtId="166" fontId="3" fillId="4" borderId="0" xfId="0" applyNumberFormat="1" applyFont="1" applyFill="1" applyProtection="1">
      <protection hidden="1"/>
    </xf>
    <xf numFmtId="2" fontId="6" fillId="2" borderId="0" xfId="0" applyNumberFormat="1" applyFont="1" applyFill="1" applyBorder="1" applyAlignment="1" applyProtection="1">
      <protection hidden="1"/>
    </xf>
    <xf numFmtId="1" fontId="3" fillId="2" borderId="0" xfId="0" applyNumberFormat="1" applyFont="1" applyFill="1" applyBorder="1" applyAlignment="1" applyProtection="1">
      <protection hidden="1"/>
    </xf>
    <xf numFmtId="1" fontId="3" fillId="4" borderId="3" xfId="0" applyNumberFormat="1" applyFont="1" applyFill="1" applyBorder="1" applyAlignment="1" applyProtection="1">
      <protection hidden="1"/>
    </xf>
    <xf numFmtId="1" fontId="27" fillId="2" borderId="11" xfId="0" applyNumberFormat="1" applyFont="1" applyFill="1" applyBorder="1" applyAlignment="1" applyProtection="1">
      <protection hidden="1"/>
    </xf>
    <xf numFmtId="1" fontId="4" fillId="9" borderId="0" xfId="0" applyNumberFormat="1" applyFont="1" applyFill="1" applyAlignment="1" applyProtection="1">
      <protection hidden="1"/>
    </xf>
    <xf numFmtId="0" fontId="4" fillId="9" borderId="0" xfId="0" applyFont="1" applyFill="1" applyBorder="1" applyProtection="1">
      <protection hidden="1"/>
    </xf>
    <xf numFmtId="166" fontId="39" fillId="21" borderId="0" xfId="0" applyNumberFormat="1" applyFont="1" applyFill="1" applyProtection="1">
      <protection hidden="1"/>
    </xf>
    <xf numFmtId="167" fontId="9" fillId="9" borderId="3" xfId="0" applyNumberFormat="1" applyFont="1" applyFill="1" applyBorder="1" applyProtection="1">
      <protection hidden="1"/>
    </xf>
    <xf numFmtId="164" fontId="3" fillId="2" borderId="0" xfId="0" applyNumberFormat="1" applyFont="1" applyFill="1" applyBorder="1" applyAlignment="1" applyProtection="1">
      <protection hidden="1"/>
    </xf>
    <xf numFmtId="164" fontId="3" fillId="2" borderId="0" xfId="1" applyNumberFormat="1" applyFont="1" applyFill="1" applyBorder="1" applyAlignment="1" applyProtection="1">
      <protection hidden="1"/>
    </xf>
    <xf numFmtId="1" fontId="3" fillId="2" borderId="0" xfId="1" applyNumberFormat="1" applyFont="1" applyFill="1" applyBorder="1" applyAlignment="1" applyProtection="1">
      <protection hidden="1"/>
    </xf>
    <xf numFmtId="166" fontId="36" fillId="2" borderId="0" xfId="1" applyNumberFormat="1" applyFont="1" applyFill="1" applyBorder="1" applyAlignment="1" applyProtection="1">
      <protection hidden="1"/>
    </xf>
    <xf numFmtId="1" fontId="4" fillId="5" borderId="1" xfId="0" applyNumberFormat="1" applyFont="1" applyFill="1" applyBorder="1" applyProtection="1">
      <protection hidden="1"/>
    </xf>
    <xf numFmtId="166" fontId="3" fillId="2" borderId="0" xfId="1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/>
    <xf numFmtId="166" fontId="28" fillId="13" borderId="0" xfId="0" applyNumberFormat="1" applyFont="1" applyFill="1" applyBorder="1" applyProtection="1"/>
    <xf numFmtId="166" fontId="27" fillId="6" borderId="21" xfId="0" applyNumberFormat="1" applyFont="1" applyFill="1" applyBorder="1" applyProtection="1"/>
    <xf numFmtId="166" fontId="27" fillId="4" borderId="22" xfId="0" applyNumberFormat="1" applyFont="1" applyFill="1" applyBorder="1" applyProtection="1"/>
    <xf numFmtId="166" fontId="27" fillId="13" borderId="1" xfId="0" applyNumberFormat="1" applyFont="1" applyFill="1" applyBorder="1" applyProtection="1"/>
    <xf numFmtId="166" fontId="24" fillId="13" borderId="0" xfId="0" applyNumberFormat="1" applyFont="1" applyFill="1" applyBorder="1" applyAlignment="1" applyProtection="1">
      <alignment horizontal="center"/>
    </xf>
    <xf numFmtId="165" fontId="9" fillId="13" borderId="15" xfId="0" applyNumberFormat="1" applyFont="1" applyFill="1" applyBorder="1" applyAlignment="1" applyProtection="1">
      <alignment horizontal="center"/>
    </xf>
    <xf numFmtId="0" fontId="5" fillId="4" borderId="0" xfId="0" applyFont="1" applyFill="1" applyAlignment="1" applyProtection="1">
      <alignment horizontal="center"/>
    </xf>
    <xf numFmtId="2" fontId="3" fillId="13" borderId="0" xfId="0" applyNumberFormat="1" applyFont="1" applyFill="1" applyProtection="1"/>
    <xf numFmtId="166" fontId="27" fillId="22" borderId="23" xfId="0" applyNumberFormat="1" applyFont="1" applyFill="1" applyBorder="1" applyProtection="1"/>
    <xf numFmtId="166" fontId="27" fillId="4" borderId="0" xfId="0" applyNumberFormat="1" applyFont="1" applyFill="1" applyBorder="1" applyProtection="1"/>
    <xf numFmtId="166" fontId="27" fillId="19" borderId="24" xfId="0" applyNumberFormat="1" applyFont="1" applyFill="1" applyBorder="1" applyProtection="1"/>
    <xf numFmtId="165" fontId="9" fillId="13" borderId="0" xfId="0" applyNumberFormat="1" applyFont="1" applyFill="1" applyBorder="1" applyAlignment="1" applyProtection="1">
      <alignment horizontal="center"/>
    </xf>
    <xf numFmtId="165" fontId="15" fillId="23" borderId="0" xfId="0" applyNumberFormat="1" applyFont="1" applyFill="1" applyAlignment="1" applyProtection="1">
      <alignment horizontal="center"/>
    </xf>
    <xf numFmtId="166" fontId="27" fillId="4" borderId="25" xfId="0" applyNumberFormat="1" applyFont="1" applyFill="1" applyBorder="1" applyProtection="1"/>
    <xf numFmtId="166" fontId="27" fillId="4" borderId="26" xfId="0" applyNumberFormat="1" applyFont="1" applyFill="1" applyBorder="1" applyProtection="1"/>
    <xf numFmtId="166" fontId="5" fillId="4" borderId="27" xfId="0" applyNumberFormat="1" applyFont="1" applyFill="1" applyBorder="1" applyAlignment="1" applyProtection="1">
      <alignment horizontal="center"/>
    </xf>
    <xf numFmtId="165" fontId="25" fillId="4" borderId="1" xfId="0" applyNumberFormat="1" applyFont="1" applyFill="1" applyBorder="1" applyAlignment="1" applyProtection="1">
      <alignment horizontal="center"/>
    </xf>
    <xf numFmtId="165" fontId="40" fillId="23" borderId="0" xfId="0" applyNumberFormat="1" applyFont="1" applyFill="1" applyAlignment="1" applyProtection="1">
      <alignment horizontal="center"/>
    </xf>
    <xf numFmtId="167" fontId="30" fillId="0" borderId="3" xfId="0" applyNumberFormat="1" applyFont="1" applyBorder="1"/>
    <xf numFmtId="165" fontId="24" fillId="13" borderId="0" xfId="0" applyNumberFormat="1" applyFont="1" applyFill="1" applyBorder="1" applyAlignment="1" applyProtection="1">
      <alignment horizontal="center"/>
    </xf>
    <xf numFmtId="167" fontId="28" fillId="13" borderId="0" xfId="0" applyNumberFormat="1" applyFont="1" applyFill="1" applyBorder="1" applyProtection="1"/>
    <xf numFmtId="166" fontId="25" fillId="4" borderId="0" xfId="0" applyNumberFormat="1" applyFont="1" applyFill="1" applyBorder="1" applyAlignment="1" applyProtection="1">
      <alignment horizontal="center"/>
    </xf>
    <xf numFmtId="167" fontId="9" fillId="5" borderId="0" xfId="0" applyNumberFormat="1" applyFont="1" applyFill="1" applyProtection="1"/>
    <xf numFmtId="165" fontId="24" fillId="6" borderId="14" xfId="0" applyNumberFormat="1" applyFont="1" applyFill="1" applyBorder="1" applyAlignment="1" applyProtection="1">
      <alignment horizontal="center"/>
    </xf>
    <xf numFmtId="166" fontId="24" fillId="6" borderId="16" xfId="0" applyNumberFormat="1" applyFont="1" applyFill="1" applyBorder="1" applyAlignment="1" applyProtection="1">
      <alignment horizontal="center"/>
    </xf>
    <xf numFmtId="166" fontId="7" fillId="18" borderId="17" xfId="0" applyNumberFormat="1" applyFont="1" applyFill="1" applyBorder="1" applyAlignment="1" applyProtection="1">
      <alignment horizontal="center"/>
    </xf>
    <xf numFmtId="165" fontId="28" fillId="13" borderId="0" xfId="0" applyNumberFormat="1" applyFont="1" applyFill="1" applyBorder="1" applyProtection="1"/>
    <xf numFmtId="0" fontId="6" fillId="4" borderId="0" xfId="0" applyFont="1" applyFill="1" applyProtection="1"/>
    <xf numFmtId="165" fontId="37" fillId="6" borderId="0" xfId="0" applyNumberFormat="1" applyFont="1" applyFill="1" applyBorder="1" applyAlignment="1" applyProtection="1">
      <alignment horizontal="center"/>
    </xf>
    <xf numFmtId="165" fontId="7" fillId="7" borderId="0" xfId="0" applyNumberFormat="1" applyFont="1" applyFill="1" applyBorder="1" applyAlignment="1" applyProtection="1">
      <alignment horizontal="center"/>
    </xf>
    <xf numFmtId="165" fontId="7" fillId="18" borderId="2" xfId="0" applyNumberFormat="1" applyFont="1" applyFill="1" applyBorder="1" applyAlignment="1" applyProtection="1">
      <alignment horizontal="center"/>
    </xf>
    <xf numFmtId="166" fontId="24" fillId="6" borderId="3" xfId="0" applyNumberFormat="1" applyFont="1" applyFill="1" applyBorder="1" applyAlignment="1" applyProtection="1">
      <alignment horizontal="center"/>
    </xf>
    <xf numFmtId="166" fontId="24" fillId="6" borderId="18" xfId="0" applyNumberFormat="1" applyFont="1" applyFill="1" applyBorder="1" applyAlignment="1" applyProtection="1">
      <alignment horizontal="center"/>
    </xf>
    <xf numFmtId="167" fontId="30" fillId="0" borderId="3" xfId="0" applyNumberFormat="1" applyFont="1" applyFill="1" applyBorder="1"/>
    <xf numFmtId="165" fontId="7" fillId="4" borderId="2" xfId="0" applyNumberFormat="1" applyFont="1" applyFill="1" applyBorder="1" applyAlignment="1" applyProtection="1">
      <alignment horizontal="center"/>
    </xf>
    <xf numFmtId="166" fontId="7" fillId="5" borderId="18" xfId="0" applyNumberFormat="1" applyFont="1" applyFill="1" applyBorder="1" applyAlignment="1" applyProtection="1">
      <alignment horizontal="center"/>
    </xf>
    <xf numFmtId="0" fontId="25" fillId="4" borderId="0" xfId="0" applyFont="1" applyFill="1" applyProtection="1"/>
    <xf numFmtId="165" fontId="5" fillId="4" borderId="0" xfId="0" applyNumberFormat="1" applyFont="1" applyFill="1" applyBorder="1" applyAlignment="1" applyProtection="1">
      <alignment horizontal="center"/>
    </xf>
    <xf numFmtId="165" fontId="41" fillId="7" borderId="0" xfId="0" applyNumberFormat="1" applyFont="1" applyFill="1" applyBorder="1" applyProtection="1"/>
    <xf numFmtId="165" fontId="24" fillId="6" borderId="2" xfId="0" applyNumberFormat="1" applyFont="1" applyFill="1" applyBorder="1" applyAlignment="1" applyProtection="1">
      <alignment horizontal="center"/>
    </xf>
    <xf numFmtId="166" fontId="5" fillId="4" borderId="3" xfId="0" applyNumberFormat="1" applyFont="1" applyFill="1" applyBorder="1" applyAlignment="1" applyProtection="1">
      <alignment horizontal="center"/>
    </xf>
    <xf numFmtId="165" fontId="42" fillId="7" borderId="0" xfId="0" applyNumberFormat="1" applyFont="1" applyFill="1" applyBorder="1" applyProtection="1"/>
    <xf numFmtId="165" fontId="7" fillId="4" borderId="28" xfId="0" applyNumberFormat="1" applyFont="1" applyFill="1" applyBorder="1" applyAlignment="1" applyProtection="1">
      <alignment horizontal="center"/>
    </xf>
    <xf numFmtId="166" fontId="41" fillId="7" borderId="18" xfId="0" applyNumberFormat="1" applyFont="1" applyFill="1" applyBorder="1" applyAlignment="1" applyProtection="1">
      <alignment horizontal="center"/>
    </xf>
    <xf numFmtId="165" fontId="9" fillId="6" borderId="28" xfId="0" applyNumberFormat="1" applyFont="1" applyFill="1" applyBorder="1" applyAlignment="1" applyProtection="1">
      <alignment horizontal="center"/>
    </xf>
    <xf numFmtId="166" fontId="24" fillId="6" borderId="2" xfId="0" applyNumberFormat="1" applyFont="1" applyFill="1" applyBorder="1" applyAlignment="1" applyProtection="1">
      <alignment horizontal="center"/>
    </xf>
    <xf numFmtId="166" fontId="9" fillId="6" borderId="2" xfId="0" applyNumberFormat="1" applyFont="1" applyFill="1" applyBorder="1" applyAlignment="1" applyProtection="1">
      <alignment horizontal="center"/>
    </xf>
    <xf numFmtId="166" fontId="24" fillId="6" borderId="28" xfId="0" applyNumberFormat="1" applyFont="1" applyFill="1" applyBorder="1" applyAlignment="1" applyProtection="1">
      <alignment horizontal="center"/>
    </xf>
    <xf numFmtId="165" fontId="24" fillId="6" borderId="29" xfId="0" applyNumberFormat="1" applyFont="1" applyFill="1" applyBorder="1" applyAlignment="1" applyProtection="1">
      <alignment horizontal="center"/>
    </xf>
    <xf numFmtId="166" fontId="9" fillId="6" borderId="28" xfId="0" applyNumberFormat="1" applyFont="1" applyFill="1" applyBorder="1" applyAlignment="1" applyProtection="1">
      <alignment horizontal="center"/>
    </xf>
    <xf numFmtId="165" fontId="9" fillId="6" borderId="29" xfId="0" applyNumberFormat="1" applyFont="1" applyFill="1" applyBorder="1" applyAlignment="1" applyProtection="1">
      <alignment horizontal="center"/>
    </xf>
    <xf numFmtId="166" fontId="9" fillId="6" borderId="0" xfId="0" applyNumberFormat="1" applyFont="1" applyFill="1" applyBorder="1" applyAlignment="1" applyProtection="1"/>
    <xf numFmtId="0" fontId="9" fillId="6" borderId="0" xfId="0" applyFont="1" applyFill="1" applyBorder="1" applyAlignment="1" applyProtection="1"/>
    <xf numFmtId="0" fontId="43" fillId="24" borderId="0" xfId="0" applyFont="1" applyFill="1" applyBorder="1" applyAlignment="1">
      <alignment horizontal="center"/>
    </xf>
    <xf numFmtId="0" fontId="44" fillId="25" borderId="0" xfId="0" applyFont="1" applyFill="1" applyBorder="1" applyAlignment="1">
      <alignment horizontal="center"/>
    </xf>
    <xf numFmtId="0" fontId="45" fillId="26" borderId="0" xfId="0" applyFont="1" applyFill="1" applyBorder="1" applyAlignment="1">
      <alignment horizontal="center"/>
    </xf>
    <xf numFmtId="0" fontId="46" fillId="27" borderId="0" xfId="0" applyFont="1" applyFill="1" applyBorder="1" applyAlignment="1">
      <alignment horizontal="center"/>
    </xf>
    <xf numFmtId="0" fontId="46" fillId="28" borderId="0" xfId="0" applyFont="1" applyFill="1" applyBorder="1" applyAlignment="1">
      <alignment horizontal="center"/>
    </xf>
    <xf numFmtId="0" fontId="47" fillId="29" borderId="0" xfId="0" applyFont="1" applyFill="1" applyBorder="1"/>
    <xf numFmtId="0" fontId="46" fillId="30" borderId="0" xfId="0" applyFont="1" applyFill="1" applyBorder="1" applyAlignment="1">
      <alignment horizontal="center"/>
    </xf>
    <xf numFmtId="165" fontId="48" fillId="29" borderId="0" xfId="0" applyNumberFormat="1" applyFont="1" applyFill="1" applyBorder="1" applyAlignment="1">
      <alignment horizontal="center"/>
    </xf>
    <xf numFmtId="1" fontId="49" fillId="29" borderId="0" xfId="0" applyNumberFormat="1" applyFont="1" applyFill="1" applyBorder="1"/>
    <xf numFmtId="0" fontId="47" fillId="4" borderId="0" xfId="0" applyFont="1" applyFill="1" applyBorder="1"/>
    <xf numFmtId="0" fontId="50" fillId="24" borderId="0" xfId="0" applyFont="1" applyFill="1" applyBorder="1" applyAlignment="1">
      <alignment horizontal="center"/>
    </xf>
    <xf numFmtId="169" fontId="46" fillId="27" borderId="0" xfId="0" applyNumberFormat="1" applyFont="1" applyFill="1" applyBorder="1" applyAlignment="1">
      <alignment horizontal="center"/>
    </xf>
    <xf numFmtId="1" fontId="46" fillId="27" borderId="0" xfId="0" applyNumberFormat="1" applyFont="1" applyFill="1" applyBorder="1" applyAlignment="1">
      <alignment horizontal="center"/>
    </xf>
    <xf numFmtId="165" fontId="46" fillId="28" borderId="0" xfId="0" applyNumberFormat="1" applyFont="1" applyFill="1" applyBorder="1" applyAlignment="1">
      <alignment horizontal="center"/>
    </xf>
    <xf numFmtId="2" fontId="47" fillId="29" borderId="0" xfId="0" applyNumberFormat="1" applyFont="1" applyFill="1" applyBorder="1"/>
    <xf numFmtId="1" fontId="46" fillId="30" borderId="0" xfId="0" applyNumberFormat="1" applyFont="1" applyFill="1" applyBorder="1" applyAlignment="1">
      <alignment horizontal="center"/>
    </xf>
    <xf numFmtId="166" fontId="46" fillId="27" borderId="0" xfId="0" applyNumberFormat="1" applyFont="1" applyFill="1" applyBorder="1" applyAlignment="1">
      <alignment horizontal="center"/>
    </xf>
    <xf numFmtId="166" fontId="46" fillId="30" borderId="0" xfId="0" applyNumberFormat="1" applyFont="1" applyFill="1" applyBorder="1" applyAlignment="1">
      <alignment horizontal="center"/>
    </xf>
    <xf numFmtId="1" fontId="51" fillId="31" borderId="4" xfId="0" applyNumberFormat="1" applyFont="1" applyFill="1" applyBorder="1" applyAlignment="1">
      <alignment horizontal="center"/>
    </xf>
    <xf numFmtId="167" fontId="49" fillId="29" borderId="0" xfId="0" applyNumberFormat="1" applyFont="1" applyFill="1" applyBorder="1"/>
    <xf numFmtId="167" fontId="47" fillId="31" borderId="0" xfId="0" applyNumberFormat="1" applyFont="1" applyFill="1" applyBorder="1"/>
    <xf numFmtId="2" fontId="46" fillId="28" borderId="0" xfId="0" applyNumberFormat="1" applyFont="1" applyFill="1" applyBorder="1" applyAlignment="1">
      <alignment horizontal="center"/>
    </xf>
    <xf numFmtId="165" fontId="46" fillId="30" borderId="0" xfId="0" applyNumberFormat="1" applyFont="1" applyFill="1" applyBorder="1" applyAlignment="1">
      <alignment horizontal="center"/>
    </xf>
    <xf numFmtId="1" fontId="48" fillId="32" borderId="5" xfId="0" applyNumberFormat="1" applyFont="1" applyFill="1" applyBorder="1" applyAlignment="1">
      <alignment horizontal="center"/>
    </xf>
    <xf numFmtId="1" fontId="45" fillId="27" borderId="0" xfId="0" applyNumberFormat="1" applyFont="1" applyFill="1" applyBorder="1" applyAlignment="1">
      <alignment horizontal="center"/>
    </xf>
    <xf numFmtId="2" fontId="45" fillId="27" borderId="0" xfId="0" applyNumberFormat="1" applyFont="1" applyFill="1" applyBorder="1" applyAlignment="1">
      <alignment horizontal="center"/>
    </xf>
    <xf numFmtId="0" fontId="47" fillId="29" borderId="0" xfId="0" applyFont="1" applyFill="1" applyBorder="1" applyAlignment="1">
      <alignment horizontal="center"/>
    </xf>
    <xf numFmtId="167" fontId="46" fillId="30" borderId="0" xfId="0" applyNumberFormat="1" applyFont="1" applyFill="1" applyBorder="1" applyAlignment="1">
      <alignment horizontal="center"/>
    </xf>
    <xf numFmtId="165" fontId="49" fillId="29" borderId="0" xfId="0" applyNumberFormat="1" applyFont="1" applyFill="1" applyBorder="1"/>
    <xf numFmtId="1" fontId="52" fillId="27" borderId="0" xfId="0" applyNumberFormat="1" applyFont="1" applyFill="1" applyBorder="1" applyAlignment="1">
      <alignment horizontal="center"/>
    </xf>
    <xf numFmtId="1" fontId="47" fillId="27" borderId="0" xfId="0" applyNumberFormat="1" applyFont="1" applyFill="1" applyBorder="1"/>
    <xf numFmtId="0" fontId="47" fillId="27" borderId="0" xfId="0" applyFont="1" applyFill="1" applyBorder="1"/>
    <xf numFmtId="2" fontId="47" fillId="27" borderId="0" xfId="0" applyNumberFormat="1" applyFont="1" applyFill="1" applyBorder="1"/>
    <xf numFmtId="165" fontId="47" fillId="29" borderId="0" xfId="0" applyNumberFormat="1" applyFont="1" applyFill="1" applyBorder="1"/>
    <xf numFmtId="0" fontId="48" fillId="29" borderId="0" xfId="0" applyFont="1" applyFill="1" applyBorder="1" applyAlignment="1">
      <alignment horizontal="center"/>
    </xf>
    <xf numFmtId="164" fontId="53" fillId="30" borderId="0" xfId="0" applyNumberFormat="1" applyFont="1" applyFill="1" applyBorder="1" applyAlignment="1">
      <alignment horizontal="center"/>
    </xf>
    <xf numFmtId="0" fontId="53" fillId="24" borderId="0" xfId="0" applyFont="1" applyFill="1" applyBorder="1"/>
    <xf numFmtId="2" fontId="53" fillId="24" borderId="1" xfId="0" applyNumberFormat="1" applyFont="1" applyFill="1" applyBorder="1"/>
    <xf numFmtId="166" fontId="48" fillId="24" borderId="2" xfId="0" applyNumberFormat="1" applyFont="1" applyFill="1" applyBorder="1" applyAlignment="1">
      <alignment horizontal="center"/>
    </xf>
    <xf numFmtId="0" fontId="52" fillId="24" borderId="0" xfId="0" applyFont="1" applyFill="1" applyBorder="1"/>
    <xf numFmtId="167" fontId="52" fillId="24" borderId="0" xfId="0" applyNumberFormat="1" applyFont="1" applyFill="1" applyBorder="1"/>
    <xf numFmtId="0" fontId="47" fillId="24" borderId="0" xfId="0" applyFont="1" applyFill="1" applyBorder="1"/>
    <xf numFmtId="165" fontId="49" fillId="24" borderId="0" xfId="0" applyNumberFormat="1" applyFont="1" applyFill="1" applyBorder="1"/>
    <xf numFmtId="166" fontId="48" fillId="24" borderId="0" xfId="0" applyNumberFormat="1" applyFont="1" applyFill="1" applyBorder="1" applyAlignment="1">
      <alignment horizontal="center"/>
    </xf>
    <xf numFmtId="0" fontId="48" fillId="24" borderId="0" xfId="0" applyFont="1" applyFill="1" applyBorder="1" applyAlignment="1">
      <alignment horizontal="center"/>
    </xf>
    <xf numFmtId="165" fontId="43" fillId="24" borderId="0" xfId="0" applyNumberFormat="1" applyFont="1" applyFill="1" applyBorder="1"/>
    <xf numFmtId="166" fontId="43" fillId="24" borderId="6" xfId="0" applyNumberFormat="1" applyFont="1" applyFill="1" applyBorder="1" applyAlignment="1">
      <alignment horizontal="center"/>
    </xf>
    <xf numFmtId="2" fontId="54" fillId="30" borderId="0" xfId="0" applyNumberFormat="1" applyFont="1" applyFill="1" applyBorder="1"/>
    <xf numFmtId="0" fontId="55" fillId="24" borderId="7" xfId="0" applyFont="1" applyFill="1" applyBorder="1"/>
    <xf numFmtId="2" fontId="53" fillId="24" borderId="0" xfId="0" applyNumberFormat="1" applyFont="1" applyFill="1" applyBorder="1"/>
    <xf numFmtId="1" fontId="56" fillId="33" borderId="1" xfId="0" applyNumberFormat="1" applyFont="1" applyFill="1" applyBorder="1" applyAlignment="1">
      <alignment horizontal="center"/>
    </xf>
    <xf numFmtId="1" fontId="46" fillId="33" borderId="0" xfId="0" applyNumberFormat="1" applyFont="1" applyFill="1" applyBorder="1" applyAlignment="1">
      <alignment horizontal="center"/>
    </xf>
    <xf numFmtId="166" fontId="52" fillId="33" borderId="1" xfId="0" applyNumberFormat="1" applyFont="1" applyFill="1" applyBorder="1"/>
    <xf numFmtId="1" fontId="46" fillId="33" borderId="1" xfId="0" applyNumberFormat="1" applyFont="1" applyFill="1" applyBorder="1"/>
    <xf numFmtId="166" fontId="56" fillId="33" borderId="0" xfId="0" applyNumberFormat="1" applyFont="1" applyFill="1" applyBorder="1" applyAlignment="1">
      <alignment horizontal="center"/>
    </xf>
    <xf numFmtId="167" fontId="46" fillId="33" borderId="0" xfId="0" applyNumberFormat="1" applyFont="1" applyFill="1" applyBorder="1"/>
    <xf numFmtId="1" fontId="46" fillId="33" borderId="0" xfId="0" applyNumberFormat="1" applyFont="1" applyFill="1" applyBorder="1"/>
    <xf numFmtId="2" fontId="52" fillId="33" borderId="0" xfId="0" applyNumberFormat="1" applyFont="1" applyFill="1" applyBorder="1"/>
    <xf numFmtId="0" fontId="52" fillId="30" borderId="0" xfId="0" applyFont="1" applyFill="1" applyBorder="1"/>
    <xf numFmtId="1" fontId="48" fillId="24" borderId="0" xfId="0" applyNumberFormat="1" applyFont="1" applyFill="1" applyBorder="1" applyAlignment="1" applyProtection="1">
      <alignment horizontal="center"/>
    </xf>
    <xf numFmtId="1" fontId="46" fillId="31" borderId="8" xfId="0" applyNumberFormat="1" applyFont="1" applyFill="1" applyBorder="1" applyAlignment="1" applyProtection="1">
      <alignment horizontal="center"/>
    </xf>
    <xf numFmtId="1" fontId="46" fillId="31" borderId="0" xfId="0" applyNumberFormat="1" applyFont="1" applyFill="1" applyBorder="1" applyAlignment="1" applyProtection="1">
      <alignment horizontal="center"/>
    </xf>
    <xf numFmtId="170" fontId="48" fillId="24" borderId="0" xfId="0" applyNumberFormat="1" applyFont="1" applyFill="1" applyBorder="1" applyAlignment="1" applyProtection="1">
      <alignment horizontal="center"/>
    </xf>
    <xf numFmtId="1" fontId="53" fillId="24" borderId="0" xfId="0" applyNumberFormat="1" applyFont="1" applyFill="1" applyBorder="1" applyProtection="1"/>
    <xf numFmtId="1" fontId="48" fillId="29" borderId="0" xfId="0" applyNumberFormat="1" applyFont="1" applyFill="1" applyBorder="1" applyAlignment="1" applyProtection="1">
      <alignment horizontal="center"/>
    </xf>
    <xf numFmtId="167" fontId="48" fillId="29" borderId="0" xfId="0" applyNumberFormat="1" applyFont="1" applyFill="1" applyBorder="1" applyAlignment="1" applyProtection="1">
      <alignment horizontal="center"/>
    </xf>
    <xf numFmtId="1" fontId="43" fillId="24" borderId="9" xfId="0" applyNumberFormat="1" applyFont="1" applyFill="1" applyBorder="1" applyAlignment="1" applyProtection="1">
      <alignment horizontal="center"/>
    </xf>
    <xf numFmtId="1" fontId="43" fillId="24" borderId="10" xfId="0" applyNumberFormat="1" applyFont="1" applyFill="1" applyBorder="1" applyAlignment="1" applyProtection="1">
      <alignment horizontal="center"/>
    </xf>
    <xf numFmtId="1" fontId="43" fillId="24" borderId="11" xfId="0" applyNumberFormat="1" applyFont="1" applyFill="1" applyBorder="1" applyAlignment="1" applyProtection="1">
      <alignment horizontal="center"/>
    </xf>
    <xf numFmtId="165" fontId="53" fillId="24" borderId="0" xfId="0" applyNumberFormat="1" applyFont="1" applyFill="1" applyBorder="1" applyProtection="1"/>
    <xf numFmtId="165" fontId="52" fillId="24" borderId="0" xfId="0" applyNumberFormat="1" applyFont="1" applyFill="1" applyBorder="1" applyProtection="1"/>
    <xf numFmtId="171" fontId="52" fillId="24" borderId="0" xfId="0" applyNumberFormat="1" applyFont="1" applyFill="1" applyBorder="1" applyProtection="1"/>
    <xf numFmtId="0" fontId="52" fillId="24" borderId="0" xfId="0" applyFont="1" applyFill="1" applyBorder="1" applyProtection="1"/>
    <xf numFmtId="166" fontId="46" fillId="24" borderId="0" xfId="0" applyNumberFormat="1" applyFont="1" applyFill="1" applyBorder="1" applyAlignment="1" applyProtection="1">
      <alignment horizontal="center"/>
    </xf>
    <xf numFmtId="2" fontId="52" fillId="24" borderId="8" xfId="0" applyNumberFormat="1" applyFont="1" applyFill="1" applyBorder="1" applyProtection="1"/>
    <xf numFmtId="2" fontId="52" fillId="24" borderId="0" xfId="0" applyNumberFormat="1" applyFont="1" applyFill="1" applyBorder="1" applyProtection="1"/>
    <xf numFmtId="1" fontId="48" fillId="29" borderId="0" xfId="0" applyNumberFormat="1" applyFont="1" applyFill="1" applyBorder="1" applyAlignment="1" applyProtection="1"/>
    <xf numFmtId="1" fontId="48" fillId="24" borderId="12" xfId="0" applyNumberFormat="1" applyFont="1" applyFill="1" applyBorder="1" applyAlignment="1" applyProtection="1"/>
    <xf numFmtId="1" fontId="48" fillId="24" borderId="0" xfId="0" applyNumberFormat="1" applyFont="1" applyFill="1" applyBorder="1" applyAlignment="1" applyProtection="1"/>
    <xf numFmtId="1" fontId="48" fillId="30" borderId="0" xfId="0" applyNumberFormat="1" applyFont="1" applyFill="1" applyBorder="1" applyAlignment="1" applyProtection="1">
      <alignment horizontal="center"/>
    </xf>
    <xf numFmtId="2" fontId="48" fillId="24" borderId="0" xfId="0" applyNumberFormat="1" applyFont="1" applyFill="1" applyBorder="1" applyAlignment="1" applyProtection="1">
      <alignment horizontal="center"/>
    </xf>
    <xf numFmtId="166" fontId="53" fillId="24" borderId="0" xfId="0" applyNumberFormat="1" applyFont="1" applyFill="1" applyBorder="1" applyProtection="1"/>
    <xf numFmtId="166" fontId="52" fillId="24" borderId="0" xfId="0" applyNumberFormat="1" applyFont="1" applyFill="1" applyBorder="1" applyProtection="1"/>
    <xf numFmtId="167" fontId="52" fillId="24" borderId="0" xfId="0" applyNumberFormat="1" applyFont="1" applyFill="1" applyBorder="1" applyProtection="1"/>
    <xf numFmtId="2" fontId="46" fillId="24" borderId="0" xfId="0" applyNumberFormat="1" applyFont="1" applyFill="1" applyBorder="1" applyAlignment="1" applyProtection="1">
      <alignment horizontal="center"/>
    </xf>
    <xf numFmtId="1" fontId="52" fillId="24" borderId="0" xfId="0" applyNumberFormat="1" applyFont="1" applyFill="1" applyBorder="1" applyProtection="1"/>
    <xf numFmtId="164" fontId="46" fillId="24" borderId="0" xfId="0" applyNumberFormat="1" applyFont="1" applyFill="1" applyBorder="1" applyAlignment="1" applyProtection="1">
      <alignment horizontal="center"/>
    </xf>
    <xf numFmtId="0" fontId="47" fillId="0" borderId="0" xfId="0" applyFont="1" applyFill="1" applyBorder="1"/>
    <xf numFmtId="49" fontId="30" fillId="31" borderId="0" xfId="0" applyNumberFormat="1" applyFont="1" applyFill="1" applyBorder="1"/>
    <xf numFmtId="166" fontId="30" fillId="31" borderId="0" xfId="0" applyNumberFormat="1" applyFont="1" applyFill="1" applyBorder="1"/>
    <xf numFmtId="20" fontId="30" fillId="31" borderId="0" xfId="0" applyNumberFormat="1" applyFont="1" applyFill="1" applyBorder="1" applyAlignment="1">
      <alignment horizontal="right"/>
    </xf>
    <xf numFmtId="0" fontId="30" fillId="31" borderId="0" xfId="0" applyFont="1" applyFill="1" applyBorder="1" applyAlignment="1">
      <alignment horizontal="right"/>
    </xf>
    <xf numFmtId="2" fontId="46" fillId="24" borderId="8" xfId="0" applyNumberFormat="1" applyFont="1" applyFill="1" applyBorder="1" applyAlignment="1" applyProtection="1">
      <alignment horizontal="center"/>
    </xf>
    <xf numFmtId="2" fontId="46" fillId="24" borderId="0" xfId="0" applyNumberFormat="1" applyFont="1" applyFill="1" applyBorder="1" applyProtection="1"/>
    <xf numFmtId="164" fontId="52" fillId="24" borderId="0" xfId="0" applyNumberFormat="1" applyFont="1" applyFill="1" applyBorder="1" applyProtection="1"/>
    <xf numFmtId="167" fontId="53" fillId="30" borderId="0" xfId="0" applyNumberFormat="1" applyFont="1" applyFill="1" applyBorder="1" applyAlignment="1">
      <alignment horizontal="center"/>
    </xf>
    <xf numFmtId="2" fontId="53" fillId="30" borderId="0" xfId="0" applyNumberFormat="1" applyFont="1" applyFill="1" applyBorder="1" applyAlignment="1">
      <alignment horizontal="center"/>
    </xf>
    <xf numFmtId="2" fontId="53" fillId="24" borderId="13" xfId="0" applyNumberFormat="1" applyFont="1" applyFill="1" applyBorder="1"/>
    <xf numFmtId="166" fontId="48" fillId="24" borderId="14" xfId="0" applyNumberFormat="1" applyFont="1" applyFill="1" applyBorder="1" applyAlignment="1">
      <alignment horizontal="center"/>
    </xf>
    <xf numFmtId="0" fontId="49" fillId="24" borderId="0" xfId="0" applyFont="1" applyFill="1" applyBorder="1"/>
    <xf numFmtId="165" fontId="48" fillId="24" borderId="0" xfId="0" applyNumberFormat="1" applyFont="1" applyFill="1" applyBorder="1"/>
    <xf numFmtId="2" fontId="52" fillId="24" borderId="12" xfId="0" applyNumberFormat="1" applyFont="1" applyFill="1" applyBorder="1" applyProtection="1"/>
    <xf numFmtId="2" fontId="52" fillId="24" borderId="0" xfId="0" applyNumberFormat="1" applyFont="1" applyFill="1" applyBorder="1"/>
    <xf numFmtId="167" fontId="52" fillId="33" borderId="0" xfId="0" applyNumberFormat="1" applyFont="1" applyFill="1" applyBorder="1"/>
    <xf numFmtId="164" fontId="46" fillId="24" borderId="15" xfId="0" applyNumberFormat="1" applyFont="1" applyFill="1" applyBorder="1" applyAlignment="1" applyProtection="1">
      <alignment horizontal="center"/>
    </xf>
    <xf numFmtId="0" fontId="46" fillId="24" borderId="0" xfId="0" applyFont="1" applyFill="1" applyBorder="1" applyAlignment="1" applyProtection="1">
      <alignment horizontal="center"/>
    </xf>
    <xf numFmtId="167" fontId="48" fillId="24" borderId="0" xfId="0" applyNumberFormat="1" applyFont="1" applyFill="1" applyBorder="1" applyAlignment="1" applyProtection="1">
      <alignment horizontal="center"/>
    </xf>
    <xf numFmtId="167" fontId="53" fillId="24" borderId="8" xfId="0" applyNumberFormat="1" applyFont="1" applyFill="1" applyBorder="1" applyProtection="1"/>
    <xf numFmtId="165" fontId="53" fillId="29" borderId="0" xfId="0" applyNumberFormat="1" applyFont="1" applyFill="1" applyBorder="1" applyProtection="1"/>
    <xf numFmtId="1" fontId="46" fillId="30" borderId="9" xfId="0" applyNumberFormat="1" applyFont="1" applyFill="1" applyBorder="1" applyAlignment="1" applyProtection="1">
      <alignment horizontal="center"/>
    </xf>
    <xf numFmtId="167" fontId="46" fillId="30" borderId="10" xfId="0" applyNumberFormat="1" applyFont="1" applyFill="1" applyBorder="1" applyAlignment="1" applyProtection="1">
      <alignment horizontal="center"/>
    </xf>
    <xf numFmtId="167" fontId="46" fillId="30" borderId="11" xfId="0" applyNumberFormat="1" applyFont="1" applyFill="1" applyBorder="1" applyAlignment="1" applyProtection="1">
      <alignment horizontal="center"/>
    </xf>
    <xf numFmtId="165" fontId="46" fillId="24" borderId="0" xfId="0" applyNumberFormat="1" applyFont="1" applyFill="1" applyBorder="1" applyAlignment="1" applyProtection="1">
      <alignment horizontal="center"/>
    </xf>
    <xf numFmtId="165" fontId="56" fillId="24" borderId="0" xfId="0" applyNumberFormat="1" applyFont="1" applyFill="1" applyBorder="1" applyAlignment="1" applyProtection="1">
      <alignment horizontal="center"/>
    </xf>
    <xf numFmtId="167" fontId="48" fillId="24" borderId="0" xfId="0" applyNumberFormat="1" applyFont="1" applyFill="1" applyBorder="1" applyAlignment="1" applyProtection="1"/>
    <xf numFmtId="167" fontId="48" fillId="24" borderId="8" xfId="0" applyNumberFormat="1" applyFont="1" applyFill="1" applyBorder="1" applyAlignment="1" applyProtection="1"/>
    <xf numFmtId="165" fontId="52" fillId="24" borderId="0" xfId="0" quotePrefix="1" applyNumberFormat="1" applyFont="1" applyFill="1" applyBorder="1" applyProtection="1"/>
    <xf numFmtId="166" fontId="48" fillId="29" borderId="0" xfId="0" applyNumberFormat="1" applyFont="1" applyFill="1" applyBorder="1" applyAlignment="1" applyProtection="1">
      <alignment horizontal="center"/>
    </xf>
    <xf numFmtId="2" fontId="53" fillId="29" borderId="0" xfId="0" applyNumberFormat="1" applyFont="1" applyFill="1" applyBorder="1" applyProtection="1"/>
    <xf numFmtId="0" fontId="46" fillId="24" borderId="0" xfId="0" applyFont="1" applyFill="1" applyBorder="1" applyProtection="1"/>
    <xf numFmtId="166" fontId="56" fillId="24" borderId="0" xfId="0" applyNumberFormat="1" applyFont="1" applyFill="1" applyBorder="1" applyAlignment="1" applyProtection="1">
      <alignment horizontal="center"/>
    </xf>
    <xf numFmtId="165" fontId="46" fillId="24" borderId="14" xfId="0" applyNumberFormat="1" applyFont="1" applyFill="1" applyBorder="1" applyAlignment="1" applyProtection="1">
      <alignment horizontal="center"/>
    </xf>
    <xf numFmtId="2" fontId="46" fillId="24" borderId="16" xfId="0" applyNumberFormat="1" applyFont="1" applyFill="1" applyBorder="1" applyAlignment="1" applyProtection="1">
      <alignment horizontal="center"/>
    </xf>
    <xf numFmtId="2" fontId="46" fillId="24" borderId="17" xfId="0" applyNumberFormat="1" applyFont="1" applyFill="1" applyBorder="1" applyAlignment="1" applyProtection="1">
      <alignment horizontal="center"/>
    </xf>
    <xf numFmtId="166" fontId="46" fillId="24" borderId="16" xfId="0" applyNumberFormat="1" applyFont="1" applyFill="1" applyBorder="1" applyAlignment="1" applyProtection="1">
      <alignment horizontal="center"/>
    </xf>
    <xf numFmtId="166" fontId="46" fillId="24" borderId="17" xfId="0" applyNumberFormat="1" applyFont="1" applyFill="1" applyBorder="1" applyAlignment="1" applyProtection="1">
      <alignment horizontal="center"/>
    </xf>
    <xf numFmtId="165" fontId="46" fillId="24" borderId="2" xfId="0" applyNumberFormat="1" applyFont="1" applyFill="1" applyBorder="1" applyAlignment="1" applyProtection="1">
      <alignment horizontal="center"/>
    </xf>
    <xf numFmtId="2" fontId="46" fillId="24" borderId="3" xfId="0" applyNumberFormat="1" applyFont="1" applyFill="1" applyBorder="1" applyAlignment="1" applyProtection="1">
      <alignment horizontal="center"/>
    </xf>
    <xf numFmtId="2" fontId="46" fillId="24" borderId="18" xfId="0" applyNumberFormat="1" applyFont="1" applyFill="1" applyBorder="1" applyAlignment="1" applyProtection="1">
      <alignment horizontal="center"/>
    </xf>
    <xf numFmtId="2" fontId="46" fillId="24" borderId="3" xfId="2" applyNumberFormat="1" applyFont="1" applyFill="1" applyBorder="1" applyAlignment="1" applyProtection="1">
      <alignment horizontal="center"/>
    </xf>
    <xf numFmtId="2" fontId="56" fillId="24" borderId="3" xfId="0" applyNumberFormat="1" applyFont="1" applyFill="1" applyBorder="1" applyProtection="1"/>
    <xf numFmtId="166" fontId="46" fillId="24" borderId="3" xfId="0" applyNumberFormat="1" applyFont="1" applyFill="1" applyBorder="1" applyAlignment="1" applyProtection="1">
      <alignment horizontal="center"/>
    </xf>
    <xf numFmtId="166" fontId="46" fillId="24" borderId="18" xfId="0" applyNumberFormat="1" applyFont="1" applyFill="1" applyBorder="1" applyAlignment="1" applyProtection="1">
      <alignment horizontal="center"/>
    </xf>
    <xf numFmtId="175" fontId="30" fillId="0" borderId="3" xfId="0" applyNumberFormat="1" applyFont="1" applyFill="1" applyBorder="1" applyAlignment="1" applyProtection="1">
      <alignment horizontal="right"/>
      <protection hidden="1"/>
    </xf>
    <xf numFmtId="1" fontId="53" fillId="30" borderId="0" xfId="0" applyNumberFormat="1" applyFont="1" applyFill="1" applyBorder="1" applyAlignment="1">
      <alignment horizontal="center"/>
    </xf>
    <xf numFmtId="1" fontId="53" fillId="24" borderId="1" xfId="0" applyNumberFormat="1" applyFont="1" applyFill="1" applyBorder="1"/>
    <xf numFmtId="167" fontId="48" fillId="24" borderId="2" xfId="0" applyNumberFormat="1" applyFont="1" applyFill="1" applyBorder="1" applyAlignment="1">
      <alignment horizontal="center"/>
    </xf>
    <xf numFmtId="167" fontId="48" fillId="24" borderId="0" xfId="0" applyNumberFormat="1" applyFont="1" applyFill="1" applyBorder="1"/>
    <xf numFmtId="167" fontId="43" fillId="24" borderId="6" xfId="0" applyNumberFormat="1" applyFont="1" applyFill="1" applyBorder="1" applyAlignment="1">
      <alignment horizontal="center"/>
    </xf>
    <xf numFmtId="2" fontId="52" fillId="33" borderId="1" xfId="0" applyNumberFormat="1" applyFont="1" applyFill="1" applyBorder="1"/>
    <xf numFmtId="165" fontId="46" fillId="30" borderId="9" xfId="0" applyNumberFormat="1" applyFont="1" applyFill="1" applyBorder="1" applyAlignment="1" applyProtection="1">
      <alignment horizontal="center"/>
    </xf>
    <xf numFmtId="165" fontId="46" fillId="30" borderId="10" xfId="0" applyNumberFormat="1" applyFont="1" applyFill="1" applyBorder="1" applyAlignment="1" applyProtection="1">
      <alignment horizontal="center"/>
    </xf>
    <xf numFmtId="165" fontId="46" fillId="30" borderId="11" xfId="0" applyNumberFormat="1" applyFont="1" applyFill="1" applyBorder="1" applyAlignment="1" applyProtection="1">
      <alignment horizontal="center"/>
    </xf>
    <xf numFmtId="2" fontId="48" fillId="29" borderId="0" xfId="0" applyNumberFormat="1" applyFont="1" applyFill="1" applyBorder="1" applyAlignment="1" applyProtection="1">
      <alignment horizontal="center"/>
    </xf>
    <xf numFmtId="165" fontId="46" fillId="24" borderId="15" xfId="0" applyNumberFormat="1" applyFont="1" applyFill="1" applyBorder="1" applyAlignment="1" applyProtection="1">
      <alignment horizontal="center"/>
    </xf>
    <xf numFmtId="2" fontId="46" fillId="24" borderId="19" xfId="0" applyNumberFormat="1" applyFont="1" applyFill="1" applyBorder="1" applyAlignment="1" applyProtection="1">
      <alignment horizontal="center"/>
    </xf>
    <xf numFmtId="2" fontId="46" fillId="24" borderId="20" xfId="0" applyNumberFormat="1" applyFont="1" applyFill="1" applyBorder="1" applyAlignment="1" applyProtection="1">
      <alignment horizontal="center"/>
    </xf>
    <xf numFmtId="44" fontId="57" fillId="24" borderId="0" xfId="2" applyFont="1" applyFill="1" applyBorder="1" applyAlignment="1" applyProtection="1">
      <alignment horizontal="center"/>
      <protection hidden="1"/>
    </xf>
    <xf numFmtId="169" fontId="52" fillId="24" borderId="0" xfId="2" applyNumberFormat="1" applyFont="1" applyFill="1" applyBorder="1" applyAlignment="1" applyProtection="1">
      <alignment horizontal="center"/>
      <protection hidden="1"/>
    </xf>
    <xf numFmtId="172" fontId="56" fillId="24" borderId="0" xfId="2" applyNumberFormat="1" applyFont="1" applyFill="1" applyBorder="1" applyAlignment="1" applyProtection="1">
      <alignment horizontal="center"/>
      <protection hidden="1"/>
    </xf>
    <xf numFmtId="169" fontId="46" fillId="24" borderId="0" xfId="2" applyNumberFormat="1" applyFont="1" applyFill="1" applyBorder="1" applyAlignment="1" applyProtection="1">
      <alignment horizontal="center"/>
      <protection hidden="1"/>
    </xf>
    <xf numFmtId="169" fontId="46" fillId="24" borderId="0" xfId="2" applyNumberFormat="1" applyFont="1" applyFill="1" applyBorder="1" applyAlignment="1" applyProtection="1">
      <protection hidden="1"/>
    </xf>
    <xf numFmtId="44" fontId="52" fillId="24" borderId="0" xfId="2" applyFont="1" applyFill="1" applyBorder="1" applyProtection="1">
      <protection hidden="1"/>
    </xf>
    <xf numFmtId="2" fontId="56" fillId="24" borderId="2" xfId="0" applyNumberFormat="1" applyFont="1" applyFill="1" applyBorder="1" applyProtection="1"/>
    <xf numFmtId="44" fontId="58" fillId="24" borderId="0" xfId="2" applyFont="1" applyFill="1" applyBorder="1" applyAlignment="1" applyProtection="1">
      <alignment horizontal="center"/>
      <protection hidden="1"/>
    </xf>
    <xf numFmtId="44" fontId="56" fillId="24" borderId="0" xfId="2" applyFont="1" applyFill="1" applyBorder="1" applyAlignment="1" applyProtection="1">
      <alignment horizontal="center"/>
      <protection hidden="1"/>
    </xf>
    <xf numFmtId="44" fontId="52" fillId="24" borderId="0" xfId="2" applyFont="1" applyFill="1" applyBorder="1" applyAlignment="1" applyProtection="1">
      <protection hidden="1"/>
    </xf>
    <xf numFmtId="169" fontId="46" fillId="30" borderId="0" xfId="2" applyNumberFormat="1" applyFont="1" applyFill="1" applyBorder="1" applyAlignment="1" applyProtection="1">
      <alignment horizontal="center"/>
      <protection hidden="1"/>
    </xf>
    <xf numFmtId="44" fontId="46" fillId="24" borderId="0" xfId="2" applyFont="1" applyFill="1" applyBorder="1" applyAlignment="1" applyProtection="1">
      <alignment horizontal="center"/>
      <protection hidden="1"/>
    </xf>
    <xf numFmtId="44" fontId="43" fillId="24" borderId="0" xfId="2" applyFont="1" applyFill="1" applyBorder="1" applyAlignment="1" applyProtection="1">
      <alignment horizontal="center"/>
      <protection hidden="1"/>
    </xf>
    <xf numFmtId="173" fontId="52" fillId="24" borderId="0" xfId="0" applyNumberFormat="1" applyFont="1" applyFill="1" applyBorder="1" applyProtection="1"/>
    <xf numFmtId="167" fontId="56" fillId="24" borderId="0" xfId="0" applyNumberFormat="1" applyFont="1" applyFill="1" applyBorder="1" applyAlignment="1" applyProtection="1">
      <alignment horizontal="center"/>
    </xf>
    <xf numFmtId="167" fontId="46" fillId="24" borderId="0" xfId="0" applyNumberFormat="1" applyFont="1" applyFill="1" applyBorder="1" applyAlignment="1" applyProtection="1">
      <alignment horizontal="center"/>
    </xf>
    <xf numFmtId="1" fontId="59" fillId="34" borderId="0" xfId="0" applyNumberFormat="1" applyFont="1" applyFill="1" applyBorder="1" applyAlignment="1" applyProtection="1">
      <alignment horizontal="center"/>
      <protection hidden="1"/>
    </xf>
    <xf numFmtId="167" fontId="55" fillId="24" borderId="11" xfId="0" applyNumberFormat="1" applyFont="1" applyFill="1" applyBorder="1" applyAlignment="1" applyProtection="1">
      <alignment horizontal="center"/>
      <protection hidden="1"/>
    </xf>
    <xf numFmtId="1" fontId="55" fillId="24" borderId="1" xfId="0" applyNumberFormat="1" applyFont="1" applyFill="1" applyBorder="1" applyAlignment="1" applyProtection="1">
      <alignment horizontal="center"/>
      <protection hidden="1"/>
    </xf>
    <xf numFmtId="1" fontId="48" fillId="34" borderId="1" xfId="0" applyNumberFormat="1" applyFont="1" applyFill="1" applyBorder="1" applyAlignment="1" applyProtection="1">
      <alignment horizontal="center"/>
      <protection hidden="1"/>
    </xf>
    <xf numFmtId="1" fontId="48" fillId="34" borderId="1" xfId="0" applyNumberFormat="1" applyFont="1" applyFill="1" applyBorder="1" applyAlignment="1" applyProtection="1">
      <protection hidden="1"/>
    </xf>
    <xf numFmtId="0" fontId="49" fillId="34" borderId="0" xfId="0" applyFont="1" applyFill="1" applyBorder="1" applyProtection="1">
      <protection hidden="1"/>
    </xf>
    <xf numFmtId="0" fontId="53" fillId="34" borderId="0" xfId="0" applyFont="1" applyFill="1" applyBorder="1" applyProtection="1">
      <protection hidden="1"/>
    </xf>
    <xf numFmtId="166" fontId="46" fillId="24" borderId="0" xfId="0" applyNumberFormat="1" applyFont="1" applyFill="1" applyBorder="1" applyProtection="1"/>
    <xf numFmtId="0" fontId="60" fillId="24" borderId="0" xfId="0" applyFont="1" applyFill="1" applyBorder="1" applyAlignment="1" applyProtection="1">
      <alignment horizontal="center"/>
    </xf>
    <xf numFmtId="1" fontId="61" fillId="34" borderId="0" xfId="0" applyNumberFormat="1" applyFont="1" applyFill="1" applyBorder="1" applyAlignment="1" applyProtection="1">
      <protection hidden="1"/>
    </xf>
    <xf numFmtId="1" fontId="62" fillId="34" borderId="0" xfId="0" applyNumberFormat="1" applyFont="1" applyFill="1" applyBorder="1" applyAlignment="1" applyProtection="1">
      <alignment horizontal="center"/>
      <protection hidden="1"/>
    </xf>
    <xf numFmtId="165" fontId="49" fillId="34" borderId="0" xfId="0" applyNumberFormat="1" applyFont="1" applyFill="1" applyBorder="1" applyAlignment="1" applyProtection="1">
      <protection hidden="1"/>
    </xf>
    <xf numFmtId="165" fontId="63" fillId="35" borderId="0" xfId="0" applyNumberFormat="1" applyFont="1" applyFill="1" applyBorder="1" applyAlignment="1" applyProtection="1">
      <alignment horizontal="center"/>
      <protection hidden="1"/>
    </xf>
    <xf numFmtId="165" fontId="64" fillId="34" borderId="0" xfId="0" applyNumberFormat="1" applyFont="1" applyFill="1" applyBorder="1" applyAlignment="1" applyProtection="1">
      <alignment horizontal="center"/>
      <protection hidden="1"/>
    </xf>
    <xf numFmtId="165" fontId="65" fillId="35" borderId="0" xfId="0" applyNumberFormat="1" applyFont="1" applyFill="1" applyBorder="1" applyAlignment="1" applyProtection="1">
      <alignment horizontal="center"/>
      <protection hidden="1"/>
    </xf>
    <xf numFmtId="166" fontId="49" fillId="34" borderId="0" xfId="0" applyNumberFormat="1" applyFont="1" applyFill="1" applyBorder="1" applyAlignment="1" applyProtection="1">
      <protection hidden="1"/>
    </xf>
    <xf numFmtId="165" fontId="61" fillId="34" borderId="0" xfId="0" applyNumberFormat="1" applyFont="1" applyFill="1" applyBorder="1" applyAlignment="1" applyProtection="1">
      <protection hidden="1"/>
    </xf>
    <xf numFmtId="165" fontId="64" fillId="29" borderId="1" xfId="0" applyNumberFormat="1" applyFont="1" applyFill="1" applyBorder="1" applyAlignment="1" applyProtection="1">
      <alignment horizontal="center"/>
      <protection hidden="1"/>
    </xf>
    <xf numFmtId="1" fontId="48" fillId="29" borderId="0" xfId="0" applyNumberFormat="1" applyFont="1" applyFill="1" applyBorder="1" applyAlignment="1" applyProtection="1">
      <alignment horizontal="center"/>
      <protection hidden="1"/>
    </xf>
    <xf numFmtId="166" fontId="49" fillId="34" borderId="0" xfId="0" applyNumberFormat="1" applyFont="1" applyFill="1" applyBorder="1" applyProtection="1">
      <protection hidden="1"/>
    </xf>
    <xf numFmtId="165" fontId="62" fillId="34" borderId="0" xfId="0" applyNumberFormat="1" applyFont="1" applyFill="1" applyBorder="1" applyAlignment="1" applyProtection="1">
      <protection hidden="1"/>
    </xf>
    <xf numFmtId="1" fontId="56" fillId="34" borderId="0" xfId="0" applyNumberFormat="1" applyFont="1" applyFill="1" applyBorder="1" applyAlignment="1" applyProtection="1">
      <protection hidden="1"/>
    </xf>
    <xf numFmtId="173" fontId="62" fillId="34" borderId="0" xfId="0" applyNumberFormat="1" applyFont="1" applyFill="1" applyBorder="1" applyAlignment="1" applyProtection="1">
      <protection hidden="1"/>
    </xf>
    <xf numFmtId="2" fontId="54" fillId="24" borderId="0" xfId="0" applyNumberFormat="1" applyFont="1" applyFill="1" applyBorder="1" applyAlignment="1" applyProtection="1">
      <alignment horizontal="center"/>
    </xf>
    <xf numFmtId="165" fontId="53" fillId="29" borderId="0" xfId="0" applyNumberFormat="1" applyFont="1" applyFill="1" applyBorder="1" applyAlignment="1" applyProtection="1">
      <protection hidden="1"/>
    </xf>
    <xf numFmtId="1" fontId="52" fillId="31" borderId="0" xfId="0" applyNumberFormat="1" applyFont="1" applyFill="1" applyBorder="1" applyAlignment="1" applyProtection="1">
      <protection hidden="1"/>
    </xf>
    <xf numFmtId="2" fontId="49" fillId="29" borderId="1" xfId="0" applyNumberFormat="1" applyFont="1" applyFill="1" applyBorder="1" applyAlignment="1" applyProtection="1">
      <protection hidden="1"/>
    </xf>
    <xf numFmtId="1" fontId="49" fillId="34" borderId="0" xfId="0" applyNumberFormat="1" applyFont="1" applyFill="1" applyBorder="1" applyAlignment="1" applyProtection="1">
      <protection hidden="1"/>
    </xf>
    <xf numFmtId="1" fontId="49" fillId="34" borderId="0" xfId="0" applyNumberFormat="1" applyFont="1" applyFill="1" applyBorder="1" applyProtection="1">
      <protection hidden="1"/>
    </xf>
    <xf numFmtId="165" fontId="49" fillId="34" borderId="0" xfId="0" applyNumberFormat="1" applyFont="1" applyFill="1" applyBorder="1" applyAlignment="1" applyProtection="1">
      <alignment horizontal="center"/>
      <protection hidden="1"/>
    </xf>
    <xf numFmtId="165" fontId="66" fillId="36" borderId="0" xfId="0" applyNumberFormat="1" applyFont="1" applyFill="1" applyBorder="1" applyAlignment="1" applyProtection="1">
      <protection hidden="1"/>
    </xf>
    <xf numFmtId="2" fontId="49" fillId="34" borderId="0" xfId="0" applyNumberFormat="1" applyFont="1" applyFill="1" applyBorder="1" applyAlignment="1" applyProtection="1">
      <protection hidden="1"/>
    </xf>
    <xf numFmtId="164" fontId="49" fillId="34" borderId="0" xfId="0" applyNumberFormat="1" applyFont="1" applyFill="1" applyBorder="1" applyProtection="1">
      <protection hidden="1"/>
    </xf>
    <xf numFmtId="1" fontId="43" fillId="34" borderId="4" xfId="0" applyNumberFormat="1" applyFont="1" applyFill="1" applyBorder="1" applyAlignment="1" applyProtection="1">
      <alignment horizontal="center"/>
      <protection hidden="1"/>
    </xf>
    <xf numFmtId="165" fontId="66" fillId="35" borderId="3" xfId="0" applyNumberFormat="1" applyFont="1" applyFill="1" applyBorder="1" applyAlignment="1" applyProtection="1">
      <protection hidden="1"/>
    </xf>
    <xf numFmtId="1" fontId="43" fillId="34" borderId="13" xfId="0" applyNumberFormat="1" applyFont="1" applyFill="1" applyBorder="1" applyAlignment="1" applyProtection="1">
      <alignment horizontal="center"/>
      <protection hidden="1"/>
    </xf>
    <xf numFmtId="2" fontId="49" fillId="29" borderId="0" xfId="0" applyNumberFormat="1" applyFont="1" applyFill="1" applyBorder="1" applyProtection="1">
      <protection hidden="1"/>
    </xf>
    <xf numFmtId="0" fontId="48" fillId="29" borderId="0" xfId="0" applyFont="1" applyFill="1" applyBorder="1" applyProtection="1">
      <protection hidden="1"/>
    </xf>
    <xf numFmtId="165" fontId="53" fillId="34" borderId="0" xfId="0" applyNumberFormat="1" applyFont="1" applyFill="1" applyBorder="1" applyAlignment="1" applyProtection="1">
      <protection hidden="1"/>
    </xf>
    <xf numFmtId="2" fontId="49" fillId="34" borderId="0" xfId="0" applyNumberFormat="1" applyFont="1" applyFill="1" applyBorder="1" applyProtection="1">
      <protection hidden="1"/>
    </xf>
    <xf numFmtId="165" fontId="48" fillId="34" borderId="0" xfId="0" applyNumberFormat="1" applyFont="1" applyFill="1" applyBorder="1" applyAlignment="1" applyProtection="1">
      <protection hidden="1"/>
    </xf>
    <xf numFmtId="167" fontId="49" fillId="29" borderId="3" xfId="0" applyNumberFormat="1" applyFont="1" applyFill="1" applyBorder="1" applyAlignment="1" applyProtection="1">
      <protection hidden="1"/>
    </xf>
    <xf numFmtId="167" fontId="53" fillId="34" borderId="11" xfId="0" applyNumberFormat="1" applyFont="1" applyFill="1" applyBorder="1" applyAlignment="1" applyProtection="1">
      <protection hidden="1"/>
    </xf>
    <xf numFmtId="167" fontId="49" fillId="34" borderId="0" xfId="0" applyNumberFormat="1" applyFont="1" applyFill="1" applyBorder="1" applyAlignment="1" applyProtection="1">
      <protection hidden="1"/>
    </xf>
    <xf numFmtId="167" fontId="52" fillId="37" borderId="0" xfId="0" applyNumberFormat="1" applyFont="1" applyFill="1" applyBorder="1" applyAlignment="1" applyProtection="1">
      <protection hidden="1"/>
    </xf>
    <xf numFmtId="167" fontId="49" fillId="34" borderId="0" xfId="0" applyNumberFormat="1" applyFont="1" applyFill="1" applyBorder="1" applyProtection="1">
      <protection hidden="1"/>
    </xf>
    <xf numFmtId="167" fontId="55" fillId="24" borderId="0" xfId="0" applyNumberFormat="1" applyFont="1" applyFill="1" applyBorder="1" applyProtection="1">
      <protection hidden="1"/>
    </xf>
    <xf numFmtId="0" fontId="55" fillId="24" borderId="0" xfId="0" applyFont="1" applyFill="1" applyBorder="1" applyProtection="1">
      <protection hidden="1"/>
    </xf>
    <xf numFmtId="165" fontId="66" fillId="36" borderId="0" xfId="0" applyNumberFormat="1" applyFont="1" applyFill="1" applyBorder="1" applyProtection="1">
      <protection hidden="1"/>
    </xf>
    <xf numFmtId="167" fontId="52" fillId="34" borderId="0" xfId="0" applyNumberFormat="1" applyFont="1" applyFill="1" applyBorder="1" applyAlignment="1" applyProtection="1">
      <protection hidden="1"/>
    </xf>
    <xf numFmtId="167" fontId="49" fillId="34" borderId="0" xfId="1" applyNumberFormat="1" applyFont="1" applyFill="1" applyBorder="1" applyAlignment="1" applyProtection="1">
      <protection hidden="1"/>
    </xf>
    <xf numFmtId="167" fontId="52" fillId="29" borderId="9" xfId="0" applyNumberFormat="1" applyFont="1" applyFill="1" applyBorder="1" applyAlignment="1" applyProtection="1">
      <alignment horizontal="center"/>
      <protection hidden="1"/>
    </xf>
    <xf numFmtId="167" fontId="43" fillId="24" borderId="3" xfId="0" applyNumberFormat="1" applyFont="1" applyFill="1" applyBorder="1" applyProtection="1">
      <protection hidden="1"/>
    </xf>
    <xf numFmtId="0" fontId="47" fillId="31" borderId="3" xfId="0" applyFont="1" applyFill="1" applyBorder="1" applyProtection="1">
      <protection hidden="1"/>
    </xf>
    <xf numFmtId="165" fontId="49" fillId="34" borderId="0" xfId="0" applyNumberFormat="1" applyFont="1" applyFill="1" applyBorder="1" applyProtection="1">
      <protection hidden="1"/>
    </xf>
    <xf numFmtId="167" fontId="49" fillId="34" borderId="0" xfId="0" applyNumberFormat="1" applyFont="1" applyFill="1" applyBorder="1" applyAlignment="1" applyProtection="1">
      <alignment horizontal="center"/>
      <protection hidden="1"/>
    </xf>
    <xf numFmtId="0" fontId="52" fillId="31" borderId="3" xfId="0" applyFont="1" applyFill="1" applyBorder="1" applyProtection="1">
      <protection hidden="1"/>
    </xf>
    <xf numFmtId="165" fontId="46" fillId="24" borderId="0" xfId="0" applyNumberFormat="1" applyFont="1" applyFill="1" applyBorder="1" applyProtection="1"/>
    <xf numFmtId="165" fontId="49" fillId="34" borderId="0" xfId="1" applyNumberFormat="1" applyFont="1" applyFill="1" applyBorder="1" applyAlignment="1" applyProtection="1">
      <protection hidden="1"/>
    </xf>
    <xf numFmtId="164" fontId="49" fillId="34" borderId="0" xfId="1" applyNumberFormat="1" applyFont="1" applyFill="1" applyBorder="1" applyAlignment="1" applyProtection="1">
      <protection hidden="1"/>
    </xf>
    <xf numFmtId="168" fontId="49" fillId="34" borderId="0" xfId="1" applyNumberFormat="1" applyFont="1" applyFill="1" applyBorder="1" applyAlignment="1" applyProtection="1">
      <protection hidden="1"/>
    </xf>
    <xf numFmtId="166" fontId="64" fillId="34" borderId="0" xfId="0" applyNumberFormat="1" applyFont="1" applyFill="1" applyBorder="1" applyProtection="1">
      <protection hidden="1"/>
    </xf>
    <xf numFmtId="166" fontId="49" fillId="34" borderId="0" xfId="1" applyNumberFormat="1" applyFont="1" applyFill="1" applyBorder="1" applyAlignment="1" applyProtection="1">
      <protection hidden="1"/>
    </xf>
    <xf numFmtId="168" fontId="52" fillId="24" borderId="0" xfId="0" applyNumberFormat="1" applyFont="1" applyFill="1" applyBorder="1" applyProtection="1"/>
    <xf numFmtId="165" fontId="62" fillId="34" borderId="0" xfId="1" applyNumberFormat="1" applyFont="1" applyFill="1" applyBorder="1" applyAlignment="1" applyProtection="1">
      <protection hidden="1"/>
    </xf>
    <xf numFmtId="166" fontId="48" fillId="29" borderId="1" xfId="0" applyNumberFormat="1" applyFont="1" applyFill="1" applyBorder="1" applyProtection="1">
      <protection hidden="1"/>
    </xf>
    <xf numFmtId="167" fontId="52" fillId="31" borderId="1" xfId="0" applyNumberFormat="1" applyFont="1" applyFill="1" applyBorder="1" applyProtection="1">
      <protection hidden="1"/>
    </xf>
    <xf numFmtId="165" fontId="49" fillId="34" borderId="0" xfId="1" applyNumberFormat="1" applyFont="1" applyFill="1" applyBorder="1" applyAlignment="1" applyProtection="1">
      <alignment horizontal="center"/>
      <protection hidden="1"/>
    </xf>
    <xf numFmtId="166" fontId="49" fillId="34" borderId="0" xfId="1" applyNumberFormat="1" applyFont="1" applyFill="1" applyBorder="1" applyAlignment="1" applyProtection="1">
      <alignment horizontal="center"/>
      <protection hidden="1"/>
    </xf>
    <xf numFmtId="174" fontId="49" fillId="34" borderId="0" xfId="0" applyNumberFormat="1" applyFont="1" applyFill="1" applyBorder="1" applyProtection="1">
      <protection hidden="1"/>
    </xf>
    <xf numFmtId="166" fontId="49" fillId="34" borderId="0" xfId="0" applyNumberFormat="1" applyFont="1" applyFill="1" applyBorder="1" applyAlignment="1" applyProtection="1">
      <alignment horizontal="center"/>
      <protection hidden="1"/>
    </xf>
    <xf numFmtId="165" fontId="53" fillId="34" borderId="0" xfId="0" applyNumberFormat="1" applyFont="1" applyFill="1" applyBorder="1" applyAlignment="1" applyProtection="1">
      <alignment horizontal="center"/>
      <protection hidden="1"/>
    </xf>
    <xf numFmtId="1" fontId="57" fillId="34" borderId="21" xfId="0" applyNumberFormat="1" applyFont="1" applyFill="1" applyBorder="1" applyAlignment="1" applyProtection="1">
      <alignment horizontal="center"/>
      <protection hidden="1"/>
    </xf>
    <xf numFmtId="1" fontId="57" fillId="34" borderId="6" xfId="0" applyNumberFormat="1" applyFont="1" applyFill="1" applyBorder="1" applyAlignment="1" applyProtection="1">
      <alignment horizontal="center"/>
      <protection hidden="1"/>
    </xf>
    <xf numFmtId="1" fontId="52" fillId="37" borderId="11" xfId="0" applyNumberFormat="1" applyFont="1" applyFill="1" applyBorder="1" applyAlignment="1" applyProtection="1">
      <alignment horizontal="center"/>
      <protection hidden="1"/>
    </xf>
    <xf numFmtId="167" fontId="52" fillId="37" borderId="1" xfId="0" applyNumberFormat="1" applyFont="1" applyFill="1" applyBorder="1" applyAlignment="1" applyProtection="1">
      <alignment horizontal="center"/>
      <protection hidden="1"/>
    </xf>
    <xf numFmtId="167" fontId="48" fillId="34" borderId="1" xfId="0" applyNumberFormat="1" applyFont="1" applyFill="1" applyBorder="1" applyAlignment="1" applyProtection="1">
      <alignment horizontal="center"/>
      <protection hidden="1"/>
    </xf>
    <xf numFmtId="167" fontId="48" fillId="34" borderId="1" xfId="0" applyNumberFormat="1" applyFont="1" applyFill="1" applyBorder="1" applyAlignment="1" applyProtection="1">
      <protection hidden="1"/>
    </xf>
    <xf numFmtId="0" fontId="61" fillId="34" borderId="0" xfId="0" applyFont="1" applyFill="1" applyBorder="1" applyAlignment="1" applyProtection="1">
      <protection hidden="1"/>
    </xf>
    <xf numFmtId="0" fontId="62" fillId="34" borderId="0" xfId="0" applyFont="1" applyFill="1" applyBorder="1" applyAlignment="1" applyProtection="1">
      <alignment horizontal="center"/>
      <protection hidden="1"/>
    </xf>
    <xf numFmtId="166" fontId="64" fillId="34" borderId="0" xfId="0" applyNumberFormat="1" applyFont="1" applyFill="1" applyBorder="1" applyAlignment="1" applyProtection="1">
      <alignment horizontal="center"/>
      <protection hidden="1"/>
    </xf>
    <xf numFmtId="0" fontId="49" fillId="34" borderId="0" xfId="0" applyFont="1" applyFill="1" applyBorder="1" applyAlignment="1" applyProtection="1">
      <protection hidden="1"/>
    </xf>
    <xf numFmtId="164" fontId="49" fillId="34" borderId="0" xfId="0" applyNumberFormat="1" applyFont="1" applyFill="1" applyBorder="1" applyAlignment="1" applyProtection="1">
      <protection hidden="1"/>
    </xf>
    <xf numFmtId="164" fontId="62" fillId="34" borderId="0" xfId="0" applyNumberFormat="1" applyFont="1" applyFill="1" applyBorder="1" applyAlignment="1" applyProtection="1">
      <protection hidden="1"/>
    </xf>
    <xf numFmtId="2" fontId="62" fillId="34" borderId="0" xfId="0" applyNumberFormat="1" applyFont="1" applyFill="1" applyBorder="1" applyAlignment="1" applyProtection="1">
      <protection hidden="1"/>
    </xf>
    <xf numFmtId="1" fontId="62" fillId="34" borderId="0" xfId="0" applyNumberFormat="1" applyFont="1" applyFill="1" applyBorder="1" applyAlignment="1" applyProtection="1">
      <protection hidden="1"/>
    </xf>
    <xf numFmtId="168" fontId="49" fillId="34" borderId="0" xfId="0" applyNumberFormat="1" applyFont="1" applyFill="1" applyBorder="1" applyAlignment="1" applyProtection="1">
      <protection hidden="1"/>
    </xf>
    <xf numFmtId="168" fontId="62" fillId="34" borderId="0" xfId="0" applyNumberFormat="1" applyFont="1" applyFill="1" applyBorder="1" applyAlignment="1" applyProtection="1">
      <protection hidden="1"/>
    </xf>
    <xf numFmtId="1" fontId="49" fillId="29" borderId="1" xfId="0" applyNumberFormat="1" applyFont="1" applyFill="1" applyBorder="1" applyAlignment="1" applyProtection="1">
      <protection hidden="1"/>
    </xf>
    <xf numFmtId="2" fontId="66" fillId="36" borderId="0" xfId="0" applyNumberFormat="1" applyFont="1" applyFill="1" applyBorder="1" applyAlignment="1" applyProtection="1">
      <protection hidden="1"/>
    </xf>
    <xf numFmtId="167" fontId="48" fillId="29" borderId="0" xfId="0" applyNumberFormat="1" applyFont="1" applyFill="1" applyBorder="1" applyAlignment="1" applyProtection="1">
      <alignment horizontal="center"/>
      <protection hidden="1"/>
    </xf>
    <xf numFmtId="2" fontId="66" fillId="35" borderId="3" xfId="0" applyNumberFormat="1" applyFont="1" applyFill="1" applyBorder="1" applyAlignment="1" applyProtection="1">
      <protection hidden="1"/>
    </xf>
    <xf numFmtId="166" fontId="49" fillId="29" borderId="0" xfId="0" applyNumberFormat="1" applyFont="1" applyFill="1" applyBorder="1" applyProtection="1">
      <protection hidden="1"/>
    </xf>
    <xf numFmtId="2" fontId="64" fillId="34" borderId="0" xfId="0" applyNumberFormat="1" applyFont="1" applyFill="1" applyBorder="1" applyAlignment="1" applyProtection="1">
      <protection hidden="1"/>
    </xf>
    <xf numFmtId="1" fontId="49" fillId="29" borderId="3" xfId="0" applyNumberFormat="1" applyFont="1" applyFill="1" applyBorder="1" applyAlignment="1" applyProtection="1">
      <protection hidden="1"/>
    </xf>
    <xf numFmtId="1" fontId="53" fillId="34" borderId="11" xfId="0" applyNumberFormat="1" applyFont="1" applyFill="1" applyBorder="1" applyAlignment="1" applyProtection="1">
      <protection hidden="1"/>
    </xf>
    <xf numFmtId="1" fontId="52" fillId="37" borderId="0" xfId="0" applyNumberFormat="1" applyFont="1" applyFill="1" applyBorder="1" applyAlignment="1" applyProtection="1">
      <protection hidden="1"/>
    </xf>
    <xf numFmtId="0" fontId="52" fillId="37" borderId="0" xfId="0" applyFont="1" applyFill="1" applyBorder="1" applyProtection="1">
      <protection hidden="1"/>
    </xf>
    <xf numFmtId="166" fontId="66" fillId="36" borderId="0" xfId="0" applyNumberFormat="1" applyFont="1" applyFill="1" applyBorder="1" applyProtection="1">
      <protection hidden="1"/>
    </xf>
    <xf numFmtId="167" fontId="46" fillId="37" borderId="3" xfId="0" applyNumberFormat="1" applyFont="1" applyFill="1" applyBorder="1" applyProtection="1">
      <protection hidden="1"/>
    </xf>
    <xf numFmtId="1" fontId="49" fillId="34" borderId="0" xfId="1" applyNumberFormat="1" applyFont="1" applyFill="1" applyBorder="1" applyAlignment="1" applyProtection="1">
      <protection hidden="1"/>
    </xf>
    <xf numFmtId="166" fontId="62" fillId="34" borderId="0" xfId="1" applyNumberFormat="1" applyFont="1" applyFill="1" applyBorder="1" applyAlignment="1" applyProtection="1">
      <protection hidden="1"/>
    </xf>
    <xf numFmtId="1" fontId="52" fillId="31" borderId="1" xfId="0" applyNumberFormat="1" applyFont="1" applyFill="1" applyBorder="1" applyProtection="1">
      <protection hidden="1"/>
    </xf>
    <xf numFmtId="0" fontId="2" fillId="13" borderId="0" xfId="0" applyFont="1" applyFill="1"/>
    <xf numFmtId="0" fontId="49" fillId="34" borderId="0" xfId="0" applyFont="1" applyFill="1" applyBorder="1"/>
    <xf numFmtId="0" fontId="47" fillId="30" borderId="0" xfId="0" applyFont="1" applyFill="1" applyBorder="1"/>
    <xf numFmtId="166" fontId="55" fillId="30" borderId="0" xfId="0" applyNumberFormat="1" applyFont="1" applyFill="1" applyBorder="1" applyProtection="1"/>
    <xf numFmtId="166" fontId="53" fillId="24" borderId="21" xfId="0" applyNumberFormat="1" applyFont="1" applyFill="1" applyBorder="1" applyProtection="1"/>
    <xf numFmtId="166" fontId="53" fillId="29" borderId="22" xfId="0" applyNumberFormat="1" applyFont="1" applyFill="1" applyBorder="1" applyProtection="1"/>
    <xf numFmtId="166" fontId="53" fillId="30" borderId="1" xfId="0" applyNumberFormat="1" applyFont="1" applyFill="1" applyBorder="1" applyProtection="1"/>
    <xf numFmtId="166" fontId="43" fillId="30" borderId="0" xfId="0" applyNumberFormat="1" applyFont="1" applyFill="1" applyBorder="1" applyAlignment="1" applyProtection="1">
      <alignment horizontal="center"/>
    </xf>
    <xf numFmtId="165" fontId="46" fillId="30" borderId="15" xfId="0" applyNumberFormat="1" applyFont="1" applyFill="1" applyBorder="1" applyAlignment="1" applyProtection="1">
      <alignment horizontal="center"/>
    </xf>
    <xf numFmtId="0" fontId="48" fillId="29" borderId="0" xfId="0" applyFont="1" applyFill="1" applyBorder="1" applyAlignment="1" applyProtection="1">
      <alignment horizontal="center"/>
    </xf>
    <xf numFmtId="2" fontId="49" fillId="30" borderId="0" xfId="0" applyNumberFormat="1" applyFont="1" applyFill="1" applyBorder="1" applyProtection="1"/>
    <xf numFmtId="166" fontId="53" fillId="38" borderId="23" xfId="0" applyNumberFormat="1" applyFont="1" applyFill="1" applyBorder="1" applyProtection="1"/>
    <xf numFmtId="166" fontId="53" fillId="29" borderId="0" xfId="0" applyNumberFormat="1" applyFont="1" applyFill="1" applyBorder="1" applyProtection="1"/>
    <xf numFmtId="166" fontId="53" fillId="33" borderId="24" xfId="0" applyNumberFormat="1" applyFont="1" applyFill="1" applyBorder="1" applyProtection="1"/>
    <xf numFmtId="165" fontId="46" fillId="30" borderId="0" xfId="0" applyNumberFormat="1" applyFont="1" applyFill="1" applyBorder="1" applyAlignment="1" applyProtection="1">
      <alignment horizontal="center"/>
    </xf>
    <xf numFmtId="165" fontId="50" fillId="39" borderId="0" xfId="0" applyNumberFormat="1" applyFont="1" applyFill="1" applyBorder="1" applyAlignment="1" applyProtection="1">
      <alignment horizontal="center"/>
    </xf>
    <xf numFmtId="166" fontId="53" fillId="29" borderId="25" xfId="0" applyNumberFormat="1" applyFont="1" applyFill="1" applyBorder="1" applyProtection="1"/>
    <xf numFmtId="166" fontId="53" fillId="29" borderId="26" xfId="0" applyNumberFormat="1" applyFont="1" applyFill="1" applyBorder="1" applyProtection="1"/>
    <xf numFmtId="166" fontId="48" fillId="29" borderId="27" xfId="0" applyNumberFormat="1" applyFont="1" applyFill="1" applyBorder="1" applyAlignment="1" applyProtection="1">
      <alignment horizontal="center"/>
    </xf>
    <xf numFmtId="165" fontId="44" fillId="29" borderId="1" xfId="0" applyNumberFormat="1" applyFont="1" applyFill="1" applyBorder="1" applyAlignment="1" applyProtection="1">
      <alignment horizontal="center"/>
    </xf>
    <xf numFmtId="165" fontId="67" fillId="39" borderId="0" xfId="0" applyNumberFormat="1" applyFont="1" applyFill="1" applyBorder="1" applyAlignment="1" applyProtection="1">
      <alignment horizontal="center"/>
    </xf>
    <xf numFmtId="165" fontId="43" fillId="30" borderId="0" xfId="0" applyNumberFormat="1" applyFont="1" applyFill="1" applyBorder="1" applyAlignment="1" applyProtection="1">
      <alignment horizontal="center"/>
    </xf>
    <xf numFmtId="167" fontId="55" fillId="30" borderId="0" xfId="0" applyNumberFormat="1" applyFont="1" applyFill="1" applyBorder="1" applyProtection="1"/>
    <xf numFmtId="166" fontId="44" fillId="29" borderId="0" xfId="0" applyNumberFormat="1" applyFont="1" applyFill="1" applyBorder="1" applyAlignment="1" applyProtection="1">
      <alignment horizontal="center"/>
    </xf>
    <xf numFmtId="167" fontId="46" fillId="31" borderId="0" xfId="0" applyNumberFormat="1" applyFont="1" applyFill="1" applyBorder="1" applyProtection="1"/>
    <xf numFmtId="165" fontId="43" fillId="24" borderId="14" xfId="0" applyNumberFormat="1" applyFont="1" applyFill="1" applyBorder="1" applyAlignment="1" applyProtection="1">
      <alignment horizontal="center"/>
    </xf>
    <xf numFmtId="166" fontId="43" fillId="24" borderId="16" xfId="0" applyNumberFormat="1" applyFont="1" applyFill="1" applyBorder="1" applyAlignment="1" applyProtection="1">
      <alignment horizontal="center"/>
    </xf>
    <xf numFmtId="166" fontId="68" fillId="27" borderId="17" xfId="0" applyNumberFormat="1" applyFont="1" applyFill="1" applyBorder="1" applyAlignment="1" applyProtection="1">
      <alignment horizontal="center"/>
    </xf>
    <xf numFmtId="165" fontId="55" fillId="30" borderId="0" xfId="0" applyNumberFormat="1" applyFont="1" applyFill="1" applyBorder="1" applyProtection="1"/>
    <xf numFmtId="0" fontId="64" fillId="29" borderId="0" xfId="0" applyFont="1" applyFill="1" applyBorder="1" applyProtection="1"/>
    <xf numFmtId="165" fontId="63" fillId="24" borderId="0" xfId="0" applyNumberFormat="1" applyFont="1" applyFill="1" applyBorder="1" applyAlignment="1" applyProtection="1">
      <alignment horizontal="center"/>
    </xf>
    <xf numFmtId="165" fontId="68" fillId="32" borderId="0" xfId="0" applyNumberFormat="1" applyFont="1" applyFill="1" applyBorder="1" applyAlignment="1" applyProtection="1">
      <alignment horizontal="center"/>
    </xf>
    <xf numFmtId="165" fontId="68" fillId="27" borderId="2" xfId="0" applyNumberFormat="1" applyFont="1" applyFill="1" applyBorder="1" applyAlignment="1" applyProtection="1">
      <alignment horizontal="center"/>
    </xf>
    <xf numFmtId="166" fontId="43" fillId="24" borderId="3" xfId="0" applyNumberFormat="1" applyFont="1" applyFill="1" applyBorder="1" applyAlignment="1" applyProtection="1">
      <alignment horizontal="center"/>
    </xf>
    <xf numFmtId="166" fontId="43" fillId="24" borderId="18" xfId="0" applyNumberFormat="1" applyFont="1" applyFill="1" applyBorder="1" applyAlignment="1" applyProtection="1">
      <alignment horizontal="center"/>
    </xf>
    <xf numFmtId="165" fontId="68" fillId="29" borderId="2" xfId="0" applyNumberFormat="1" applyFont="1" applyFill="1" applyBorder="1" applyAlignment="1" applyProtection="1">
      <alignment horizontal="center"/>
    </xf>
    <xf numFmtId="166" fontId="68" fillId="31" borderId="18" xfId="0" applyNumberFormat="1" applyFont="1" applyFill="1" applyBorder="1" applyAlignment="1" applyProtection="1">
      <alignment horizontal="center"/>
    </xf>
    <xf numFmtId="0" fontId="44" fillId="29" borderId="0" xfId="0" applyFont="1" applyFill="1" applyBorder="1" applyProtection="1"/>
    <xf numFmtId="165" fontId="48" fillId="29" borderId="0" xfId="0" applyNumberFormat="1" applyFont="1" applyFill="1" applyBorder="1" applyAlignment="1" applyProtection="1">
      <alignment horizontal="center"/>
    </xf>
    <xf numFmtId="165" fontId="69" fillId="32" borderId="0" xfId="0" applyNumberFormat="1" applyFont="1" applyFill="1" applyBorder="1" applyProtection="1"/>
    <xf numFmtId="165" fontId="43" fillId="24" borderId="2" xfId="0" applyNumberFormat="1" applyFont="1" applyFill="1" applyBorder="1" applyAlignment="1" applyProtection="1">
      <alignment horizontal="center"/>
    </xf>
    <xf numFmtId="166" fontId="48" fillId="29" borderId="3" xfId="0" applyNumberFormat="1" applyFont="1" applyFill="1" applyBorder="1" applyAlignment="1" applyProtection="1">
      <alignment horizontal="center"/>
    </xf>
    <xf numFmtId="165" fontId="70" fillId="32" borderId="0" xfId="0" applyNumberFormat="1" applyFont="1" applyFill="1" applyBorder="1" applyProtection="1"/>
    <xf numFmtId="165" fontId="68" fillId="29" borderId="28" xfId="0" applyNumberFormat="1" applyFont="1" applyFill="1" applyBorder="1" applyAlignment="1" applyProtection="1">
      <alignment horizontal="center"/>
    </xf>
    <xf numFmtId="166" fontId="69" fillId="32" borderId="18" xfId="0" applyNumberFormat="1" applyFont="1" applyFill="1" applyBorder="1" applyAlignment="1" applyProtection="1">
      <alignment horizontal="center"/>
    </xf>
    <xf numFmtId="165" fontId="46" fillId="24" borderId="28" xfId="0" applyNumberFormat="1" applyFont="1" applyFill="1" applyBorder="1" applyAlignment="1" applyProtection="1">
      <alignment horizontal="center"/>
    </xf>
    <xf numFmtId="166" fontId="43" fillId="24" borderId="2" xfId="0" applyNumberFormat="1" applyFont="1" applyFill="1" applyBorder="1" applyAlignment="1" applyProtection="1">
      <alignment horizontal="center"/>
    </xf>
    <xf numFmtId="166" fontId="46" fillId="24" borderId="2" xfId="0" applyNumberFormat="1" applyFont="1" applyFill="1" applyBorder="1" applyAlignment="1" applyProtection="1">
      <alignment horizontal="center"/>
    </xf>
    <xf numFmtId="166" fontId="43" fillId="24" borderId="28" xfId="0" applyNumberFormat="1" applyFont="1" applyFill="1" applyBorder="1" applyAlignment="1" applyProtection="1">
      <alignment horizontal="center"/>
    </xf>
    <xf numFmtId="165" fontId="43" fillId="24" borderId="29" xfId="0" applyNumberFormat="1" applyFont="1" applyFill="1" applyBorder="1" applyAlignment="1" applyProtection="1">
      <alignment horizontal="center"/>
    </xf>
    <xf numFmtId="166" fontId="46" fillId="24" borderId="28" xfId="0" applyNumberFormat="1" applyFont="1" applyFill="1" applyBorder="1" applyAlignment="1" applyProtection="1">
      <alignment horizontal="center"/>
    </xf>
    <xf numFmtId="165" fontId="46" fillId="24" borderId="29" xfId="0" applyNumberFormat="1" applyFont="1" applyFill="1" applyBorder="1" applyAlignment="1" applyProtection="1">
      <alignment horizontal="center"/>
    </xf>
    <xf numFmtId="166" fontId="46" fillId="24" borderId="0" xfId="0" applyNumberFormat="1" applyFont="1" applyFill="1" applyBorder="1" applyAlignment="1" applyProtection="1"/>
    <xf numFmtId="0" fontId="46" fillId="24" borderId="0" xfId="0" applyFont="1" applyFill="1" applyBorder="1" applyAlignment="1" applyProtection="1"/>
    <xf numFmtId="165" fontId="5" fillId="2" borderId="0" xfId="0" applyNumberFormat="1" applyFont="1" applyFill="1" applyBorder="1" applyAlignment="1" applyProtection="1">
      <alignment horizontal="center"/>
      <protection hidden="1"/>
    </xf>
    <xf numFmtId="165" fontId="5" fillId="18" borderId="0" xfId="0" applyNumberFormat="1" applyFont="1" applyFill="1" applyBorder="1" applyAlignment="1" applyProtection="1">
      <alignment horizontal="center"/>
      <protection hidden="1"/>
    </xf>
    <xf numFmtId="2" fontId="5" fillId="2" borderId="0" xfId="0" applyNumberFormat="1" applyFont="1" applyFill="1" applyBorder="1" applyAlignment="1" applyProtection="1">
      <alignment horizontal="center"/>
      <protection hidden="1"/>
    </xf>
    <xf numFmtId="165" fontId="48" fillId="34" borderId="0" xfId="0" applyNumberFormat="1" applyFont="1" applyFill="1" applyBorder="1" applyAlignment="1" applyProtection="1">
      <alignment horizontal="center"/>
      <protection hidden="1"/>
    </xf>
    <xf numFmtId="2" fontId="48" fillId="34" borderId="0" xfId="0" applyNumberFormat="1" applyFont="1" applyFill="1" applyBorder="1" applyAlignment="1" applyProtection="1">
      <alignment horizontal="center"/>
      <protection hidden="1"/>
    </xf>
    <xf numFmtId="1" fontId="75" fillId="13" borderId="0" xfId="0" applyNumberFormat="1" applyFont="1" applyFill="1"/>
    <xf numFmtId="0" fontId="0" fillId="13" borderId="0" xfId="0" applyFill="1"/>
    <xf numFmtId="1" fontId="0" fillId="13" borderId="0" xfId="0" applyNumberFormat="1" applyFill="1"/>
    <xf numFmtId="165" fontId="0" fillId="13" borderId="0" xfId="0" applyNumberFormat="1" applyFill="1"/>
    <xf numFmtId="0" fontId="76" fillId="13" borderId="0" xfId="0" applyFont="1" applyFill="1" applyAlignment="1">
      <alignment horizontal="center"/>
    </xf>
    <xf numFmtId="0" fontId="77" fillId="13" borderId="0" xfId="0" applyFont="1" applyFill="1" applyAlignment="1">
      <alignment horizontal="center"/>
    </xf>
    <xf numFmtId="0" fontId="16" fillId="13" borderId="0" xfId="0" applyFont="1" applyFill="1" applyAlignment="1">
      <alignment horizontal="center"/>
    </xf>
    <xf numFmtId="0" fontId="78" fillId="6" borderId="0" xfId="0" applyFont="1" applyFill="1"/>
    <xf numFmtId="0" fontId="78" fillId="13" borderId="0" xfId="0" applyFont="1" applyFill="1" applyBorder="1"/>
    <xf numFmtId="0" fontId="78" fillId="13" borderId="7" xfId="0" applyFont="1" applyFill="1" applyBorder="1"/>
    <xf numFmtId="0" fontId="78" fillId="13" borderId="0" xfId="0" applyFont="1" applyFill="1"/>
    <xf numFmtId="0" fontId="78" fillId="6" borderId="7" xfId="0" applyFont="1" applyFill="1" applyBorder="1"/>
    <xf numFmtId="2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79" fillId="2" borderId="0" xfId="0" applyFont="1" applyFill="1" applyAlignment="1">
      <alignment horizontal="center"/>
    </xf>
    <xf numFmtId="165" fontId="80" fillId="3" borderId="1" xfId="0" applyNumberFormat="1" applyFont="1" applyFill="1" applyBorder="1" applyAlignment="1">
      <alignment horizontal="center"/>
    </xf>
    <xf numFmtId="166" fontId="81" fillId="4" borderId="2" xfId="0" applyNumberFormat="1" applyFont="1" applyFill="1" applyBorder="1" applyAlignment="1">
      <alignment horizontal="center"/>
    </xf>
    <xf numFmtId="166" fontId="82" fillId="5" borderId="0" xfId="0" applyNumberFormat="1" applyFont="1" applyFill="1" applyAlignment="1">
      <alignment horizontal="center"/>
    </xf>
    <xf numFmtId="2" fontId="80" fillId="2" borderId="0" xfId="0" applyNumberFormat="1" applyFont="1" applyFill="1" applyAlignment="1">
      <alignment horizontal="center"/>
    </xf>
    <xf numFmtId="165" fontId="83" fillId="6" borderId="0" xfId="0" applyNumberFormat="1" applyFont="1" applyFill="1" applyAlignment="1">
      <alignment horizontal="center"/>
    </xf>
    <xf numFmtId="0" fontId="83" fillId="6" borderId="0" xfId="0" applyFont="1" applyFill="1" applyAlignment="1">
      <alignment horizontal="center"/>
    </xf>
    <xf numFmtId="0" fontId="79" fillId="6" borderId="0" xfId="0" applyFont="1" applyFill="1" applyAlignment="1">
      <alignment horizontal="center"/>
    </xf>
    <xf numFmtId="166" fontId="18" fillId="5" borderId="3" xfId="0" applyNumberFormat="1" applyFont="1" applyFill="1" applyBorder="1" applyAlignment="1">
      <alignment horizontal="center"/>
    </xf>
    <xf numFmtId="0" fontId="80" fillId="3" borderId="0" xfId="0" applyFont="1" applyFill="1" applyAlignment="1">
      <alignment horizontal="center"/>
    </xf>
    <xf numFmtId="2" fontId="84" fillId="3" borderId="0" xfId="0" applyNumberFormat="1" applyFont="1" applyFill="1" applyAlignment="1">
      <alignment horizontal="center"/>
    </xf>
    <xf numFmtId="0" fontId="80" fillId="5" borderId="0" xfId="0" applyFont="1" applyFill="1" applyAlignment="1">
      <alignment horizontal="center"/>
    </xf>
    <xf numFmtId="0" fontId="20" fillId="7" borderId="0" xfId="0" applyFont="1" applyFill="1" applyAlignment="1">
      <alignment horizontal="center"/>
    </xf>
    <xf numFmtId="2" fontId="85" fillId="2" borderId="0" xfId="0" applyNumberFormat="1" applyFont="1" applyFill="1" applyAlignment="1">
      <alignment horizontal="center"/>
    </xf>
    <xf numFmtId="2" fontId="79" fillId="2" borderId="0" xfId="0" applyNumberFormat="1" applyFont="1" applyFill="1" applyAlignment="1">
      <alignment horizontal="center"/>
    </xf>
    <xf numFmtId="0" fontId="82" fillId="8" borderId="0" xfId="0" applyFont="1" applyFill="1" applyAlignment="1">
      <alignment horizontal="center"/>
    </xf>
    <xf numFmtId="0" fontId="86" fillId="6" borderId="0" xfId="0" applyFont="1" applyFill="1" applyAlignment="1">
      <alignment horizontal="center"/>
    </xf>
    <xf numFmtId="165" fontId="82" fillId="9" borderId="0" xfId="0" applyNumberFormat="1" applyFont="1" applyFill="1" applyAlignment="1">
      <alignment horizontal="center"/>
    </xf>
    <xf numFmtId="0" fontId="87" fillId="4" borderId="0" xfId="0" applyFont="1" applyFill="1" applyAlignment="1">
      <alignment horizontal="center"/>
    </xf>
    <xf numFmtId="165" fontId="79" fillId="2" borderId="0" xfId="0" applyNumberFormat="1" applyFont="1" applyFill="1" applyAlignment="1">
      <alignment horizontal="center"/>
    </xf>
    <xf numFmtId="0" fontId="88" fillId="10" borderId="0" xfId="0" applyFont="1" applyFill="1" applyAlignment="1">
      <alignment horizontal="center"/>
    </xf>
    <xf numFmtId="0" fontId="82" fillId="9" borderId="0" xfId="0" applyFont="1" applyFill="1" applyAlignment="1">
      <alignment horizontal="center"/>
    </xf>
    <xf numFmtId="0" fontId="82" fillId="5" borderId="0" xfId="0" applyFont="1" applyFill="1" applyAlignment="1">
      <alignment horizontal="center"/>
    </xf>
    <xf numFmtId="0" fontId="82" fillId="2" borderId="0" xfId="0" applyFont="1" applyFill="1" applyAlignment="1">
      <alignment horizontal="center"/>
    </xf>
    <xf numFmtId="0" fontId="89" fillId="6" borderId="0" xfId="0" applyFont="1" applyFill="1" applyAlignment="1">
      <alignment horizontal="center"/>
    </xf>
    <xf numFmtId="0" fontId="90" fillId="4" borderId="0" xfId="0" applyFont="1" applyFill="1" applyAlignment="1">
      <alignment horizontal="center"/>
    </xf>
    <xf numFmtId="165" fontId="80" fillId="2" borderId="0" xfId="0" applyNumberFormat="1" applyFont="1" applyFill="1" applyAlignment="1">
      <alignment horizontal="center"/>
    </xf>
    <xf numFmtId="0" fontId="75" fillId="6" borderId="0" xfId="0" applyFont="1" applyFill="1"/>
    <xf numFmtId="0" fontId="0" fillId="2" borderId="0" xfId="0" applyFill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alcChain" Target="calcChain.xml"/><Relationship Id="rId3" Type="http://schemas.openxmlformats.org/officeDocument/2006/relationships/worksheet" Target="worksheets/sheet1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haredStrings" Target="sharedStrings.xml"/><Relationship Id="rId2" Type="http://schemas.openxmlformats.org/officeDocument/2006/relationships/chartsheet" Target="chartsheets/sheet2.xml"/><Relationship Id="rId16" Type="http://schemas.openxmlformats.org/officeDocument/2006/relationships/styles" Target="styles.xml"/><Relationship Id="rId1" Type="http://schemas.openxmlformats.org/officeDocument/2006/relationships/chartsheet" Target="chart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2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ورقة1!$CA$3</c:f>
              <c:strCache>
                <c:ptCount val="1"/>
                <c:pt idx="0">
                  <c:v>EURUSD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ورقة1!$CB$3:$CU$3</c:f>
              <c:numCache>
                <c:formatCode>General</c:formatCode>
                <c:ptCount val="20"/>
                <c:pt idx="0">
                  <c:v>133988</c:v>
                </c:pt>
                <c:pt idx="1">
                  <c:v>133357</c:v>
                </c:pt>
                <c:pt idx="2">
                  <c:v>134323</c:v>
                </c:pt>
                <c:pt idx="3" formatCode="0.00">
                  <c:v>1E-3</c:v>
                </c:pt>
                <c:pt idx="4" formatCode="0.00">
                  <c:v>0.51211489657379161</c:v>
                </c:pt>
                <c:pt idx="5">
                  <c:v>3.2542965481923147E-2</c:v>
                </c:pt>
                <c:pt idx="6">
                  <c:v>0.58366128451808663</c:v>
                </c:pt>
                <c:pt idx="7">
                  <c:v>7.154638794429502E-2</c:v>
                </c:pt>
                <c:pt idx="8">
                  <c:v>133.63524936205573</c:v>
                </c:pt>
                <c:pt idx="9" formatCode="0.000">
                  <c:v>133.70679575000003</c:v>
                </c:pt>
                <c:pt idx="10" formatCode="0.000">
                  <c:v>133.35453816379018</c:v>
                </c:pt>
                <c:pt idx="11">
                  <c:v>2787202.4836689415</c:v>
                </c:pt>
                <c:pt idx="12">
                  <c:v>3565781.9678305718</c:v>
                </c:pt>
              </c:numCache>
            </c:numRef>
          </c:val>
        </c:ser>
        <c:ser>
          <c:idx val="1"/>
          <c:order val="1"/>
          <c:tx>
            <c:strRef>
              <c:f>ورقة1!$CA$4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ورقة1!$CB$4:$CU$4</c:f>
              <c:numCache>
                <c:formatCode>0.000</c:formatCode>
                <c:ptCount val="20"/>
                <c:pt idx="0" formatCode="General">
                  <c:v>133.79477797126341</c:v>
                </c:pt>
                <c:pt idx="1">
                  <c:v>11</c:v>
                </c:pt>
                <c:pt idx="2" formatCode="General">
                  <c:v>65.266018346089396</c:v>
                </c:pt>
                <c:pt idx="3" formatCode="General">
                  <c:v>0.1</c:v>
                </c:pt>
                <c:pt idx="4" formatCode="General">
                  <c:v>715.4638794429502</c:v>
                </c:pt>
                <c:pt idx="5" formatCode="General">
                  <c:v>134.4474381547243</c:v>
                </c:pt>
                <c:pt idx="6" formatCode="General">
                  <c:v>133.12336079926817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134456.63524936207</c:v>
                </c:pt>
                <c:pt idx="10" formatCode="General">
                  <c:v>5614092.9414790422</c:v>
                </c:pt>
                <c:pt idx="11" formatCode="General">
                  <c:v>1230043.515345681</c:v>
                </c:pt>
                <c:pt idx="12" formatCode="General">
                  <c:v>1517470.9941821012</c:v>
                </c:pt>
              </c:numCache>
            </c:numRef>
          </c:val>
        </c:ser>
        <c:ser>
          <c:idx val="2"/>
          <c:order val="2"/>
          <c:tx>
            <c:strRef>
              <c:f>ورقة1!$CA$5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ورقة1!$CB$5:$CU$5</c:f>
              <c:numCache>
                <c:formatCode>General</c:formatCode>
                <c:ptCount val="20"/>
                <c:pt idx="0" formatCode="0.00">
                  <c:v>165.97300000000001</c:v>
                </c:pt>
                <c:pt idx="1">
                  <c:v>165.60499999999999</c:v>
                </c:pt>
                <c:pt idx="2">
                  <c:v>166.02700000000002</c:v>
                </c:pt>
                <c:pt idx="3">
                  <c:v>331.60500000000002</c:v>
                </c:pt>
                <c:pt idx="4">
                  <c:v>0.13542400000001723</c:v>
                </c:pt>
                <c:pt idx="5">
                  <c:v>0.1780840000000215</c:v>
                </c:pt>
                <c:pt idx="6" formatCode="0.000">
                  <c:v>331.29149200000001</c:v>
                </c:pt>
                <c:pt idx="7" formatCode="0.0000">
                  <c:v>165.645746</c:v>
                </c:pt>
                <c:pt idx="8">
                  <c:v>1.0022221551281665</c:v>
                </c:pt>
                <c:pt idx="9">
                  <c:v>1.0025482322393648</c:v>
                </c:pt>
                <c:pt idx="10">
                  <c:v>1.0011104610022645</c:v>
                </c:pt>
                <c:pt idx="11">
                  <c:v>1.0012733054662772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165.56172529566095</c:v>
                </c:pt>
              </c:numCache>
            </c:numRef>
          </c:val>
        </c:ser>
        <c:ser>
          <c:idx val="3"/>
          <c:order val="3"/>
          <c:tx>
            <c:strRef>
              <c:f>ورقة1!$CA$6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ورقة1!$CB$6:$CU$6</c:f>
              <c:numCache>
                <c:formatCode>General</c:formatCode>
                <c:ptCount val="20"/>
                <c:pt idx="0" formatCode="0.000">
                  <c:v>165.83637300000001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0.55991785111749992</c:v>
                </c:pt>
                <c:pt idx="6">
                  <c:v>165.4777045913219</c:v>
                </c:pt>
                <c:pt idx="7" formatCode="0.0000">
                  <c:v>165.7598574717457</c:v>
                </c:pt>
                <c:pt idx="8">
                  <c:v>-331.64766000000003</c:v>
                </c:pt>
                <c:pt idx="9">
                  <c:v>331.29149200000001</c:v>
                </c:pt>
                <c:pt idx="10">
                  <c:v>-331.29149200000001</c:v>
                </c:pt>
                <c:pt idx="11">
                  <c:v>331.64766000000003</c:v>
                </c:pt>
                <c:pt idx="19">
                  <c:v>165.60373564783049</c:v>
                </c:pt>
              </c:numCache>
            </c:numRef>
          </c:val>
        </c:ser>
        <c:ser>
          <c:idx val="4"/>
          <c:order val="4"/>
          <c:tx>
            <c:strRef>
              <c:f>ورقة1!$CA$7</c:f>
              <c:strCache>
                <c:ptCount val="1"/>
                <c:pt idx="0">
                  <c:v>GBPUSD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ورقة1!$CB$7:$CU$7</c:f>
              <c:numCache>
                <c:formatCode>General</c:formatCode>
                <c:ptCount val="20"/>
                <c:pt idx="0">
                  <c:v>165973</c:v>
                </c:pt>
                <c:pt idx="1">
                  <c:v>165605</c:v>
                </c:pt>
                <c:pt idx="2">
                  <c:v>166027</c:v>
                </c:pt>
                <c:pt idx="3" formatCode="0.00">
                  <c:v>1E-3</c:v>
                </c:pt>
                <c:pt idx="4" formatCode="0.00">
                  <c:v>0.28215288042380848</c:v>
                </c:pt>
                <c:pt idx="5">
                  <c:v>0.16804140867810702</c:v>
                </c:pt>
                <c:pt idx="6">
                  <c:v>0.35866840867811334</c:v>
                </c:pt>
                <c:pt idx="7">
                  <c:v>7.6515528254304854E-2</c:v>
                </c:pt>
                <c:pt idx="8">
                  <c:v>166.63117842886857</c:v>
                </c:pt>
                <c:pt idx="9" formatCode="0.000">
                  <c:v>165.83637300000001</c:v>
                </c:pt>
                <c:pt idx="10" formatCode="0.000">
                  <c:v>165.70428488261018</c:v>
                </c:pt>
                <c:pt idx="11">
                  <c:v>3234548.4144585598</c:v>
                </c:pt>
                <c:pt idx="12">
                  <c:v>4135110.6130979015</c:v>
                </c:pt>
              </c:numCache>
            </c:numRef>
          </c:val>
        </c:ser>
        <c:ser>
          <c:idx val="5"/>
          <c:order val="5"/>
          <c:tx>
            <c:strRef>
              <c:f>ورقة1!$CA$8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ورقة1!$CB$8:$CU$8</c:f>
              <c:numCache>
                <c:formatCode>0.000</c:formatCode>
                <c:ptCount val="20"/>
                <c:pt idx="0" formatCode="General">
                  <c:v>165.85588596087007</c:v>
                </c:pt>
                <c:pt idx="1">
                  <c:v>12</c:v>
                </c:pt>
                <c:pt idx="2" formatCode="General">
                  <c:v>77.52924679984848</c:v>
                </c:pt>
                <c:pt idx="3" formatCode="General">
                  <c:v>0.1</c:v>
                </c:pt>
                <c:pt idx="4" formatCode="General">
                  <c:v>765.15528254304854</c:v>
                </c:pt>
                <c:pt idx="5" formatCode="General">
                  <c:v>166.63117842886857</c:v>
                </c:pt>
                <c:pt idx="6" formatCode="General">
                  <c:v>166.04571582246504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166193.63117842886</c:v>
                </c:pt>
                <c:pt idx="10" formatCode="General">
                  <c:v>6503321.4547209563</c:v>
                </c:pt>
                <c:pt idx="11" formatCode="General">
                  <c:v>1433424.017179877</c:v>
                </c:pt>
                <c:pt idx="12" formatCode="General">
                  <c:v>1766899.7714748462</c:v>
                </c:pt>
              </c:numCache>
            </c:numRef>
          </c:val>
        </c:ser>
        <c:ser>
          <c:idx val="6"/>
          <c:order val="6"/>
          <c:tx>
            <c:strRef>
              <c:f>ورقة1!$CA$9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ورقة1!$CB$9:$CU$9</c:f>
              <c:numCache>
                <c:formatCode>General</c:formatCode>
                <c:ptCount val="20"/>
                <c:pt idx="0" formatCode="0.00">
                  <c:v>172.69300000000001</c:v>
                </c:pt>
                <c:pt idx="1">
                  <c:v>171.62200000000001</c:v>
                </c:pt>
                <c:pt idx="2">
                  <c:v>172.40100000000001</c:v>
                </c:pt>
                <c:pt idx="3">
                  <c:v>344.16900000000004</c:v>
                </c:pt>
                <c:pt idx="4">
                  <c:v>1.1470409999999955</c:v>
                </c:pt>
                <c:pt idx="5">
                  <c:v>0.6068409999999943</c:v>
                </c:pt>
                <c:pt idx="6" formatCode="0.000">
                  <c:v>342.41511800000006</c:v>
                </c:pt>
                <c:pt idx="7" formatCode="0.0000">
                  <c:v>171.20755900000003</c:v>
                </c:pt>
                <c:pt idx="8">
                  <c:v>1.0062404586824534</c:v>
                </c:pt>
                <c:pt idx="9">
                  <c:v>1.0045390451107667</c:v>
                </c:pt>
                <c:pt idx="10">
                  <c:v>1.0031153765556848</c:v>
                </c:pt>
                <c:pt idx="11">
                  <c:v>1.0022669530173918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171.24902556637835</c:v>
                </c:pt>
              </c:numCache>
            </c:numRef>
          </c:val>
        </c:ser>
        <c:ser>
          <c:idx val="7"/>
          <c:order val="7"/>
          <c:tx>
            <c:strRef>
              <c:f>ورقة1!$CA$10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ورقة1!$CB$10:$CU$10</c:f>
              <c:numCache>
                <c:formatCode>General</c:formatCode>
                <c:ptCount val="20"/>
                <c:pt idx="0" formatCode="0.000">
                  <c:v>171.80427950000001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1.3243421008183609</c:v>
                </c:pt>
                <c:pt idx="6">
                  <c:v>171.29049213275667</c:v>
                </c:pt>
                <c:pt idx="7" formatCode="0.0000">
                  <c:v>171.90837942478376</c:v>
                </c:pt>
                <c:pt idx="8">
                  <c:v>-343.62880000000001</c:v>
                </c:pt>
                <c:pt idx="9">
                  <c:v>342.41511800000006</c:v>
                </c:pt>
                <c:pt idx="10">
                  <c:v>-342.41511800000006</c:v>
                </c:pt>
                <c:pt idx="11">
                  <c:v>343.62880000000001</c:v>
                </c:pt>
                <c:pt idx="19">
                  <c:v>171.22829228318921</c:v>
                </c:pt>
              </c:numCache>
            </c:numRef>
          </c:val>
        </c:ser>
        <c:ser>
          <c:idx val="8"/>
          <c:order val="8"/>
          <c:tx>
            <c:strRef>
              <c:f>ورقة1!$CA$11</c:f>
              <c:strCache>
                <c:ptCount val="1"/>
                <c:pt idx="0">
                  <c:v>GBPJPY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ورقة1!$CB$11:$CU$11</c:f>
              <c:numCache>
                <c:formatCode>General</c:formatCode>
                <c:ptCount val="20"/>
                <c:pt idx="0">
                  <c:v>172693</c:v>
                </c:pt>
                <c:pt idx="1">
                  <c:v>171622</c:v>
                </c:pt>
                <c:pt idx="2">
                  <c:v>172401</c:v>
                </c:pt>
                <c:pt idx="3" formatCode="0.00">
                  <c:v>1E-3</c:v>
                </c:pt>
                <c:pt idx="4" formatCode="0.00">
                  <c:v>0.61788729202709192</c:v>
                </c:pt>
                <c:pt idx="5">
                  <c:v>8.2933132756636496E-2</c:v>
                </c:pt>
                <c:pt idx="6">
                  <c:v>0.51378736724333862</c:v>
                </c:pt>
                <c:pt idx="7">
                  <c:v>0.10409992478375329</c:v>
                </c:pt>
                <c:pt idx="8">
                  <c:v>171.90837942478376</c:v>
                </c:pt>
                <c:pt idx="9" formatCode="0.000">
                  <c:v>172.01247934956751</c:v>
                </c:pt>
                <c:pt idx="10" formatCode="0.000">
                  <c:v>171.57291011063057</c:v>
                </c:pt>
                <c:pt idx="11">
                  <c:v>2493881.2822023383</c:v>
                </c:pt>
                <c:pt idx="12">
                  <c:v>3175527.5402009944</c:v>
                </c:pt>
              </c:numCache>
            </c:numRef>
          </c:val>
        </c:ser>
        <c:ser>
          <c:idx val="9"/>
          <c:order val="9"/>
          <c:tx>
            <c:strRef>
              <c:f>ورقة1!$CA$12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ورقة1!$CB$12:$CU$12</c:f>
              <c:numCache>
                <c:formatCode>0.000</c:formatCode>
                <c:ptCount val="20"/>
                <c:pt idx="0" formatCode="General">
                  <c:v>171.99546315339936</c:v>
                </c:pt>
                <c:pt idx="1">
                  <c:v>13</c:v>
                </c:pt>
                <c:pt idx="2" formatCode="General">
                  <c:v>93.285025964406785</c:v>
                </c:pt>
                <c:pt idx="3" formatCode="General">
                  <c:v>0.1</c:v>
                </c:pt>
                <c:pt idx="4" formatCode="General">
                  <c:v>1040.9992478375329</c:v>
                </c:pt>
                <c:pt idx="5" formatCode="General">
                  <c:v>172.92831341304341</c:v>
                </c:pt>
                <c:pt idx="6" formatCode="General">
                  <c:v>170.82469999078546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172572.90837942477</c:v>
                </c:pt>
                <c:pt idx="10" formatCode="General">
                  <c:v>4963654.9226457058</c:v>
                </c:pt>
                <c:pt idx="11" formatCode="General">
                  <c:v>1130588.7662050261</c:v>
                </c:pt>
                <c:pt idx="12" formatCode="General">
                  <c:v>1387400.1577562825</c:v>
                </c:pt>
              </c:numCache>
            </c:numRef>
          </c:val>
        </c:ser>
        <c:ser>
          <c:idx val="10"/>
          <c:order val="10"/>
          <c:tx>
            <c:strRef>
              <c:f>ورقة1!$CA$13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ورقة1!$CB$13:$CU$13</c:f>
              <c:numCache>
                <c:formatCode>General</c:formatCode>
                <c:ptCount val="20"/>
                <c:pt idx="0" formatCode="0.00">
                  <c:v>137.69900000000001</c:v>
                </c:pt>
                <c:pt idx="1">
                  <c:v>137.34399999999999</c:v>
                </c:pt>
                <c:pt idx="2">
                  <c:v>137.97399999999999</c:v>
                </c:pt>
                <c:pt idx="3">
                  <c:v>275.18049999999999</c:v>
                </c:pt>
                <c:pt idx="4">
                  <c:v>0.1260250000000129</c:v>
                </c:pt>
                <c:pt idx="5">
                  <c:v>0.39689999999999426</c:v>
                </c:pt>
                <c:pt idx="6" formatCode="0.000">
                  <c:v>274.65757499999995</c:v>
                </c:pt>
                <c:pt idx="7" formatCode="0.0000">
                  <c:v>137.32878749999998</c:v>
                </c:pt>
                <c:pt idx="8">
                  <c:v>1.0025847506989749</c:v>
                </c:pt>
                <c:pt idx="9">
                  <c:v>1.0045870223671947</c:v>
                </c:pt>
                <c:pt idx="10">
                  <c:v>1.0012915413100096</c:v>
                </c:pt>
                <c:pt idx="11">
                  <c:v>1.0022908871017409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137.28972591291185</c:v>
                </c:pt>
              </c:numCache>
            </c:numRef>
          </c:val>
        </c:ser>
        <c:ser>
          <c:idx val="11"/>
          <c:order val="11"/>
          <c:tx>
            <c:strRef>
              <c:f>ورقة1!$CA$14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ورقة1!$CB$14:$CU$14</c:f>
              <c:numCache>
                <c:formatCode>General</c:formatCode>
                <c:ptCount val="20"/>
                <c:pt idx="0" formatCode="0.000">
                  <c:v>137.65139374999998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0.72313553363114935</c:v>
                </c:pt>
                <c:pt idx="6">
                  <c:v>137.25066432582372</c:v>
                </c:pt>
                <c:pt idx="7" formatCode="0.0000">
                  <c:v>137.55334755968389</c:v>
                </c:pt>
                <c:pt idx="8">
                  <c:v>-275.45137499999998</c:v>
                </c:pt>
                <c:pt idx="9">
                  <c:v>274.65757499999995</c:v>
                </c:pt>
                <c:pt idx="10">
                  <c:v>-274.65757500000001</c:v>
                </c:pt>
                <c:pt idx="11">
                  <c:v>275.45137499999998</c:v>
                </c:pt>
                <c:pt idx="19">
                  <c:v>137.30925670645593</c:v>
                </c:pt>
              </c:numCache>
            </c:numRef>
          </c:val>
        </c:ser>
        <c:ser>
          <c:idx val="12"/>
          <c:order val="12"/>
          <c:tx>
            <c:strRef>
              <c:f>ورقة1!$CA$15</c:f>
              <c:strCache>
                <c:ptCount val="1"/>
                <c:pt idx="0">
                  <c:v>EURJPY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ورقة1!$CB$15:$CU$15</c:f>
              <c:numCache>
                <c:formatCode>General</c:formatCode>
                <c:ptCount val="20"/>
                <c:pt idx="0">
                  <c:v>137699</c:v>
                </c:pt>
                <c:pt idx="1">
                  <c:v>137344</c:v>
                </c:pt>
                <c:pt idx="2">
                  <c:v>137974</c:v>
                </c:pt>
                <c:pt idx="3" formatCode="0.00">
                  <c:v>1E-3</c:v>
                </c:pt>
                <c:pt idx="4" formatCode="0.00">
                  <c:v>0.30268323386016505</c:v>
                </c:pt>
                <c:pt idx="5">
                  <c:v>7.8123174176255361E-2</c:v>
                </c:pt>
                <c:pt idx="6">
                  <c:v>0.40072942417626223</c:v>
                </c:pt>
                <c:pt idx="7">
                  <c:v>9.8046190316097181E-2</c:v>
                </c:pt>
                <c:pt idx="8">
                  <c:v>137.55334755968389</c:v>
                </c:pt>
                <c:pt idx="9" formatCode="0.000">
                  <c:v>137.65139374999998</c:v>
                </c:pt>
                <c:pt idx="10" formatCode="0.000">
                  <c:v>137.47564598548527</c:v>
                </c:pt>
                <c:pt idx="11">
                  <c:v>2111815.1140757841</c:v>
                </c:pt>
                <c:pt idx="12">
                  <c:v>2691362.3438326474</c:v>
                </c:pt>
              </c:numCache>
            </c:numRef>
          </c:val>
        </c:ser>
        <c:ser>
          <c:idx val="13"/>
          <c:order val="13"/>
          <c:tx>
            <c:strRef>
              <c:f>ورقة1!$CA$16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ورقة1!$CB$16:$CU$16</c:f>
              <c:numCache>
                <c:formatCode>0.000</c:formatCode>
                <c:ptCount val="20"/>
                <c:pt idx="0" formatCode="General">
                  <c:v>137.70034657849507</c:v>
                </c:pt>
                <c:pt idx="1">
                  <c:v>11</c:v>
                </c:pt>
                <c:pt idx="2" formatCode="General">
                  <c:v>67.809596338169456</c:v>
                </c:pt>
                <c:pt idx="3" formatCode="General">
                  <c:v>0.1</c:v>
                </c:pt>
                <c:pt idx="4" formatCode="General">
                  <c:v>980.46190316097181</c:v>
                </c:pt>
                <c:pt idx="5" formatCode="General">
                  <c:v>138.37844254187678</c:v>
                </c:pt>
                <c:pt idx="6" formatCode="General">
                  <c:v>136.59204201613386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138111.55334755967</c:v>
                </c:pt>
                <c:pt idx="10" formatCode="General">
                  <c:v>4212474.7194627244</c:v>
                </c:pt>
                <c:pt idx="11" formatCode="General">
                  <c:v>952720.65456205676</c:v>
                </c:pt>
                <c:pt idx="12" formatCode="General">
                  <c:v>1170249.9682025709</c:v>
                </c:pt>
              </c:numCache>
            </c:numRef>
          </c:val>
        </c:ser>
        <c:ser>
          <c:idx val="14"/>
          <c:order val="14"/>
          <c:tx>
            <c:strRef>
              <c:f>ورقة1!$CA$17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ورقة1!$CB$17:$CU$17</c:f>
              <c:numCache>
                <c:formatCode>General</c:formatCode>
                <c:ptCount val="20"/>
                <c:pt idx="0" formatCode="0.00">
                  <c:v>137.251</c:v>
                </c:pt>
                <c:pt idx="1">
                  <c:v>137.22</c:v>
                </c:pt>
                <c:pt idx="2">
                  <c:v>137.398</c:v>
                </c:pt>
                <c:pt idx="3">
                  <c:v>274.54449999999997</c:v>
                </c:pt>
                <c:pt idx="4">
                  <c:v>9.6100000000036651E-4</c:v>
                </c:pt>
                <c:pt idx="5">
                  <c:v>3.1683999999999025E-2</c:v>
                </c:pt>
                <c:pt idx="6" formatCode="0.000">
                  <c:v>274.51185499999997</c:v>
                </c:pt>
                <c:pt idx="7" formatCode="0.0000">
                  <c:v>137.25592749999998</c:v>
                </c:pt>
                <c:pt idx="8">
                  <c:v>1.0002259145897101</c:v>
                </c:pt>
                <c:pt idx="9">
                  <c:v>1.0012971869989797</c:v>
                </c:pt>
                <c:pt idx="10">
                  <c:v>1.0001129509159004</c:v>
                </c:pt>
                <c:pt idx="11">
                  <c:v>1.0006483832990387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137.0506431751148</c:v>
                </c:pt>
              </c:numCache>
            </c:numRef>
          </c:val>
        </c:ser>
        <c:ser>
          <c:idx val="15"/>
          <c:order val="15"/>
          <c:tx>
            <c:strRef>
              <c:f>ورقة1!$CA$18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ورقة1!$CB$18:$CU$18</c:f>
              <c:numCache>
                <c:formatCode>General</c:formatCode>
                <c:ptCount val="20"/>
                <c:pt idx="0" formatCode="0.000">
                  <c:v>137.32696375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0.18067927385286722</c:v>
                </c:pt>
                <c:pt idx="6">
                  <c:v>136.84535885022962</c:v>
                </c:pt>
                <c:pt idx="7" formatCode="0.0000">
                  <c:v>137.1362505063361</c:v>
                </c:pt>
                <c:pt idx="8">
                  <c:v>-274.57522299999999</c:v>
                </c:pt>
                <c:pt idx="9">
                  <c:v>274.51185499999997</c:v>
                </c:pt>
                <c:pt idx="10">
                  <c:v>-274.51185499999997</c:v>
                </c:pt>
                <c:pt idx="11">
                  <c:v>274.57522299999994</c:v>
                </c:pt>
                <c:pt idx="19">
                  <c:v>137.15328533755741</c:v>
                </c:pt>
              </c:numCache>
            </c:numRef>
          </c:val>
        </c:ser>
        <c:ser>
          <c:idx val="16"/>
          <c:order val="16"/>
          <c:tx>
            <c:strRef>
              <c:f>ورقة1!$CA$19</c:f>
              <c:strCache>
                <c:ptCount val="1"/>
                <c:pt idx="0">
                  <c:v>FLOAT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ورقة1!$CB$19:$CU$19</c:f>
              <c:numCache>
                <c:formatCode>General</c:formatCode>
                <c:ptCount val="20"/>
                <c:pt idx="0">
                  <c:v>137251</c:v>
                </c:pt>
                <c:pt idx="1">
                  <c:v>137220</c:v>
                </c:pt>
                <c:pt idx="2">
                  <c:v>137398</c:v>
                </c:pt>
                <c:pt idx="3" formatCode="0.00">
                  <c:v>1E-3</c:v>
                </c:pt>
                <c:pt idx="4" formatCode="0.00">
                  <c:v>0.29089165610648138</c:v>
                </c:pt>
                <c:pt idx="5">
                  <c:v>0.41056864977036867</c:v>
                </c:pt>
                <c:pt idx="6">
                  <c:v>0.48160489977038878</c:v>
                </c:pt>
                <c:pt idx="7">
                  <c:v>0.19071324366390741</c:v>
                </c:pt>
                <c:pt idx="8">
                  <c:v>138.14126444416914</c:v>
                </c:pt>
                <c:pt idx="9" formatCode="0.000">
                  <c:v>137.32696375</c:v>
                </c:pt>
                <c:pt idx="10" formatCode="0.000">
                  <c:v>137.26989219585246</c:v>
                </c:pt>
                <c:pt idx="11">
                  <c:v>1119365.2960189458</c:v>
                </c:pt>
                <c:pt idx="12">
                  <c:v>1408144.8764890197</c:v>
                </c:pt>
              </c:numCache>
            </c:numRef>
          </c:val>
        </c:ser>
        <c:ser>
          <c:idx val="17"/>
          <c:order val="17"/>
          <c:tx>
            <c:strRef>
              <c:f>ورقة1!$CA$20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ورقة1!$CB$20:$CU$20</c:f>
              <c:numCache>
                <c:formatCode>0.000</c:formatCode>
                <c:ptCount val="20"/>
                <c:pt idx="0" formatCode="General">
                  <c:v>137.33161864861748</c:v>
                </c:pt>
                <c:pt idx="1">
                  <c:v>11</c:v>
                </c:pt>
                <c:pt idx="2" formatCode="General">
                  <c:v>80.96457955516604</c:v>
                </c:pt>
                <c:pt idx="3" formatCode="General">
                  <c:v>0.1</c:v>
                </c:pt>
                <c:pt idx="4" formatCode="General">
                  <c:v>1907.1324366390741</c:v>
                </c:pt>
                <c:pt idx="5" formatCode="General">
                  <c:v>138.14126444416914</c:v>
                </c:pt>
                <c:pt idx="6" formatCode="General">
                  <c:v>134.50411031328824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137536.14126444416</c:v>
                </c:pt>
                <c:pt idx="10" formatCode="General">
                  <c:v>2159625.5341295428</c:v>
                </c:pt>
                <c:pt idx="11" formatCode="General">
                  <c:v>541806.13507879735</c:v>
                </c:pt>
                <c:pt idx="12" formatCode="General">
                  <c:v>656664.21884849668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209856"/>
        <c:axId val="228202688"/>
      </c:barChart>
      <c:catAx>
        <c:axId val="12920985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202688"/>
        <c:crosses val="autoZero"/>
        <c:auto val="1"/>
        <c:lblAlgn val="ctr"/>
        <c:lblOffset val="100"/>
        <c:noMultiLvlLbl val="0"/>
      </c:catAx>
      <c:valAx>
        <c:axId val="228202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2098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ورقة1!$CA$3</c:f>
              <c:strCache>
                <c:ptCount val="1"/>
                <c:pt idx="0">
                  <c:v>EURUSD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ورقة1!$CB$3:$CU$3</c:f>
              <c:numCache>
                <c:formatCode>General</c:formatCode>
                <c:ptCount val="20"/>
                <c:pt idx="0">
                  <c:v>133988</c:v>
                </c:pt>
                <c:pt idx="1">
                  <c:v>133357</c:v>
                </c:pt>
                <c:pt idx="2">
                  <c:v>134323</c:v>
                </c:pt>
                <c:pt idx="3" formatCode="0.00">
                  <c:v>1E-3</c:v>
                </c:pt>
                <c:pt idx="4" formatCode="0.00">
                  <c:v>0.51211489657379161</c:v>
                </c:pt>
                <c:pt idx="5">
                  <c:v>3.2542965481923147E-2</c:v>
                </c:pt>
                <c:pt idx="6">
                  <c:v>0.58366128451808663</c:v>
                </c:pt>
                <c:pt idx="7">
                  <c:v>7.154638794429502E-2</c:v>
                </c:pt>
                <c:pt idx="8">
                  <c:v>133.63524936205573</c:v>
                </c:pt>
                <c:pt idx="9" formatCode="0.000">
                  <c:v>133.70679575000003</c:v>
                </c:pt>
                <c:pt idx="10" formatCode="0.000">
                  <c:v>133.35453816379018</c:v>
                </c:pt>
                <c:pt idx="11">
                  <c:v>2787202.4836689415</c:v>
                </c:pt>
                <c:pt idx="12">
                  <c:v>3565781.9678305718</c:v>
                </c:pt>
              </c:numCache>
            </c:numRef>
          </c:val>
        </c:ser>
        <c:ser>
          <c:idx val="1"/>
          <c:order val="1"/>
          <c:tx>
            <c:strRef>
              <c:f>ورقة1!$CA$4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ورقة1!$CB$4:$CU$4</c:f>
              <c:numCache>
                <c:formatCode>0.000</c:formatCode>
                <c:ptCount val="20"/>
                <c:pt idx="0" formatCode="General">
                  <c:v>133.79477797126341</c:v>
                </c:pt>
                <c:pt idx="1">
                  <c:v>11</c:v>
                </c:pt>
                <c:pt idx="2" formatCode="General">
                  <c:v>65.266018346089396</c:v>
                </c:pt>
                <c:pt idx="3" formatCode="General">
                  <c:v>0.1</c:v>
                </c:pt>
                <c:pt idx="4" formatCode="General">
                  <c:v>715.4638794429502</c:v>
                </c:pt>
                <c:pt idx="5" formatCode="General">
                  <c:v>134.4474381547243</c:v>
                </c:pt>
                <c:pt idx="6" formatCode="General">
                  <c:v>133.12336079926817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134456.63524936207</c:v>
                </c:pt>
                <c:pt idx="10" formatCode="General">
                  <c:v>5614092.9414790422</c:v>
                </c:pt>
                <c:pt idx="11" formatCode="General">
                  <c:v>1230043.515345681</c:v>
                </c:pt>
                <c:pt idx="12" formatCode="General">
                  <c:v>1517470.9941821012</c:v>
                </c:pt>
              </c:numCache>
            </c:numRef>
          </c:val>
        </c:ser>
        <c:ser>
          <c:idx val="2"/>
          <c:order val="2"/>
          <c:tx>
            <c:strRef>
              <c:f>ورقة1!$CA$5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ورقة1!$CB$5:$CU$5</c:f>
              <c:numCache>
                <c:formatCode>General</c:formatCode>
                <c:ptCount val="20"/>
                <c:pt idx="0" formatCode="0.00">
                  <c:v>165.97300000000001</c:v>
                </c:pt>
                <c:pt idx="1">
                  <c:v>165.60499999999999</c:v>
                </c:pt>
                <c:pt idx="2">
                  <c:v>166.02700000000002</c:v>
                </c:pt>
                <c:pt idx="3">
                  <c:v>331.60500000000002</c:v>
                </c:pt>
                <c:pt idx="4">
                  <c:v>0.13542400000001723</c:v>
                </c:pt>
                <c:pt idx="5">
                  <c:v>0.1780840000000215</c:v>
                </c:pt>
                <c:pt idx="6" formatCode="0.000">
                  <c:v>331.29149200000001</c:v>
                </c:pt>
                <c:pt idx="7" formatCode="0.0000">
                  <c:v>165.645746</c:v>
                </c:pt>
                <c:pt idx="8">
                  <c:v>1.0022221551281665</c:v>
                </c:pt>
                <c:pt idx="9">
                  <c:v>1.0025482322393648</c:v>
                </c:pt>
                <c:pt idx="10">
                  <c:v>1.0011104610022645</c:v>
                </c:pt>
                <c:pt idx="11">
                  <c:v>1.0012733054662772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165.56172529566095</c:v>
                </c:pt>
              </c:numCache>
            </c:numRef>
          </c:val>
        </c:ser>
        <c:ser>
          <c:idx val="3"/>
          <c:order val="3"/>
          <c:tx>
            <c:strRef>
              <c:f>ورقة1!$CA$6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ورقة1!$CB$6:$CU$6</c:f>
              <c:numCache>
                <c:formatCode>General</c:formatCode>
                <c:ptCount val="20"/>
                <c:pt idx="0" formatCode="0.000">
                  <c:v>165.83637300000001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0.55991785111749992</c:v>
                </c:pt>
                <c:pt idx="6">
                  <c:v>165.4777045913219</c:v>
                </c:pt>
                <c:pt idx="7" formatCode="0.0000">
                  <c:v>165.7598574717457</c:v>
                </c:pt>
                <c:pt idx="8">
                  <c:v>-331.64766000000003</c:v>
                </c:pt>
                <c:pt idx="9">
                  <c:v>331.29149200000001</c:v>
                </c:pt>
                <c:pt idx="10">
                  <c:v>-331.29149200000001</c:v>
                </c:pt>
                <c:pt idx="11">
                  <c:v>331.64766000000003</c:v>
                </c:pt>
                <c:pt idx="19">
                  <c:v>165.60373564783049</c:v>
                </c:pt>
              </c:numCache>
            </c:numRef>
          </c:val>
        </c:ser>
        <c:ser>
          <c:idx val="4"/>
          <c:order val="4"/>
          <c:tx>
            <c:strRef>
              <c:f>ورقة1!$CA$7</c:f>
              <c:strCache>
                <c:ptCount val="1"/>
                <c:pt idx="0">
                  <c:v>GBPUSD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ورقة1!$CB$7:$CU$7</c:f>
              <c:numCache>
                <c:formatCode>General</c:formatCode>
                <c:ptCount val="20"/>
                <c:pt idx="0">
                  <c:v>165973</c:v>
                </c:pt>
                <c:pt idx="1">
                  <c:v>165605</c:v>
                </c:pt>
                <c:pt idx="2">
                  <c:v>166027</c:v>
                </c:pt>
                <c:pt idx="3" formatCode="0.00">
                  <c:v>1E-3</c:v>
                </c:pt>
                <c:pt idx="4" formatCode="0.00">
                  <c:v>0.28215288042380848</c:v>
                </c:pt>
                <c:pt idx="5">
                  <c:v>0.16804140867810702</c:v>
                </c:pt>
                <c:pt idx="6">
                  <c:v>0.35866840867811334</c:v>
                </c:pt>
                <c:pt idx="7">
                  <c:v>7.6515528254304854E-2</c:v>
                </c:pt>
                <c:pt idx="8">
                  <c:v>166.63117842886857</c:v>
                </c:pt>
                <c:pt idx="9" formatCode="0.000">
                  <c:v>165.83637300000001</c:v>
                </c:pt>
                <c:pt idx="10" formatCode="0.000">
                  <c:v>165.70428488261018</c:v>
                </c:pt>
                <c:pt idx="11">
                  <c:v>3234548.4144585598</c:v>
                </c:pt>
                <c:pt idx="12">
                  <c:v>4135110.6130979015</c:v>
                </c:pt>
              </c:numCache>
            </c:numRef>
          </c:val>
        </c:ser>
        <c:ser>
          <c:idx val="5"/>
          <c:order val="5"/>
          <c:tx>
            <c:strRef>
              <c:f>ورقة1!$CA$8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ورقة1!$CB$8:$CU$8</c:f>
              <c:numCache>
                <c:formatCode>0.000</c:formatCode>
                <c:ptCount val="20"/>
                <c:pt idx="0" formatCode="General">
                  <c:v>165.85588596087007</c:v>
                </c:pt>
                <c:pt idx="1">
                  <c:v>12</c:v>
                </c:pt>
                <c:pt idx="2" formatCode="General">
                  <c:v>77.52924679984848</c:v>
                </c:pt>
                <c:pt idx="3" formatCode="General">
                  <c:v>0.1</c:v>
                </c:pt>
                <c:pt idx="4" formatCode="General">
                  <c:v>765.15528254304854</c:v>
                </c:pt>
                <c:pt idx="5" formatCode="General">
                  <c:v>166.63117842886857</c:v>
                </c:pt>
                <c:pt idx="6" formatCode="General">
                  <c:v>166.04571582246504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166193.63117842886</c:v>
                </c:pt>
                <c:pt idx="10" formatCode="General">
                  <c:v>6503321.4547209563</c:v>
                </c:pt>
                <c:pt idx="11" formatCode="General">
                  <c:v>1433424.017179877</c:v>
                </c:pt>
                <c:pt idx="12" formatCode="General">
                  <c:v>1766899.7714748462</c:v>
                </c:pt>
              </c:numCache>
            </c:numRef>
          </c:val>
        </c:ser>
        <c:ser>
          <c:idx val="6"/>
          <c:order val="6"/>
          <c:tx>
            <c:strRef>
              <c:f>ورقة1!$CA$9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ورقة1!$CB$9:$CU$9</c:f>
              <c:numCache>
                <c:formatCode>General</c:formatCode>
                <c:ptCount val="20"/>
                <c:pt idx="0" formatCode="0.00">
                  <c:v>172.69300000000001</c:v>
                </c:pt>
                <c:pt idx="1">
                  <c:v>171.62200000000001</c:v>
                </c:pt>
                <c:pt idx="2">
                  <c:v>172.40100000000001</c:v>
                </c:pt>
                <c:pt idx="3">
                  <c:v>344.16900000000004</c:v>
                </c:pt>
                <c:pt idx="4">
                  <c:v>1.1470409999999955</c:v>
                </c:pt>
                <c:pt idx="5">
                  <c:v>0.6068409999999943</c:v>
                </c:pt>
                <c:pt idx="6" formatCode="0.000">
                  <c:v>342.41511800000006</c:v>
                </c:pt>
                <c:pt idx="7" formatCode="0.0000">
                  <c:v>171.20755900000003</c:v>
                </c:pt>
                <c:pt idx="8">
                  <c:v>1.0062404586824534</c:v>
                </c:pt>
                <c:pt idx="9">
                  <c:v>1.0045390451107667</c:v>
                </c:pt>
                <c:pt idx="10">
                  <c:v>1.0031153765556848</c:v>
                </c:pt>
                <c:pt idx="11">
                  <c:v>1.0022669530173918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171.24902556637835</c:v>
                </c:pt>
              </c:numCache>
            </c:numRef>
          </c:val>
        </c:ser>
        <c:ser>
          <c:idx val="7"/>
          <c:order val="7"/>
          <c:tx>
            <c:strRef>
              <c:f>ورقة1!$CA$10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ورقة1!$CB$10:$CU$10</c:f>
              <c:numCache>
                <c:formatCode>General</c:formatCode>
                <c:ptCount val="20"/>
                <c:pt idx="0" formatCode="0.000">
                  <c:v>171.80427950000001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1.3243421008183609</c:v>
                </c:pt>
                <c:pt idx="6">
                  <c:v>171.29049213275667</c:v>
                </c:pt>
                <c:pt idx="7" formatCode="0.0000">
                  <c:v>171.90837942478376</c:v>
                </c:pt>
                <c:pt idx="8">
                  <c:v>-343.62880000000001</c:v>
                </c:pt>
                <c:pt idx="9">
                  <c:v>342.41511800000006</c:v>
                </c:pt>
                <c:pt idx="10">
                  <c:v>-342.41511800000006</c:v>
                </c:pt>
                <c:pt idx="11">
                  <c:v>343.62880000000001</c:v>
                </c:pt>
                <c:pt idx="19">
                  <c:v>171.22829228318921</c:v>
                </c:pt>
              </c:numCache>
            </c:numRef>
          </c:val>
        </c:ser>
        <c:ser>
          <c:idx val="8"/>
          <c:order val="8"/>
          <c:tx>
            <c:strRef>
              <c:f>ورقة1!$CA$11</c:f>
              <c:strCache>
                <c:ptCount val="1"/>
                <c:pt idx="0">
                  <c:v>GBPJPY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ورقة1!$CB$11:$CU$11</c:f>
              <c:numCache>
                <c:formatCode>General</c:formatCode>
                <c:ptCount val="20"/>
                <c:pt idx="0">
                  <c:v>172693</c:v>
                </c:pt>
                <c:pt idx="1">
                  <c:v>171622</c:v>
                </c:pt>
                <c:pt idx="2">
                  <c:v>172401</c:v>
                </c:pt>
                <c:pt idx="3" formatCode="0.00">
                  <c:v>1E-3</c:v>
                </c:pt>
                <c:pt idx="4" formatCode="0.00">
                  <c:v>0.61788729202709192</c:v>
                </c:pt>
                <c:pt idx="5">
                  <c:v>8.2933132756636496E-2</c:v>
                </c:pt>
                <c:pt idx="6">
                  <c:v>0.51378736724333862</c:v>
                </c:pt>
                <c:pt idx="7">
                  <c:v>0.10409992478375329</c:v>
                </c:pt>
                <c:pt idx="8">
                  <c:v>171.90837942478376</c:v>
                </c:pt>
                <c:pt idx="9" formatCode="0.000">
                  <c:v>172.01247934956751</c:v>
                </c:pt>
                <c:pt idx="10" formatCode="0.000">
                  <c:v>171.57291011063057</c:v>
                </c:pt>
                <c:pt idx="11">
                  <c:v>2493881.2822023383</c:v>
                </c:pt>
                <c:pt idx="12">
                  <c:v>3175527.5402009944</c:v>
                </c:pt>
              </c:numCache>
            </c:numRef>
          </c:val>
        </c:ser>
        <c:ser>
          <c:idx val="9"/>
          <c:order val="9"/>
          <c:tx>
            <c:strRef>
              <c:f>ورقة1!$CA$12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ورقة1!$CB$12:$CU$12</c:f>
              <c:numCache>
                <c:formatCode>0.000</c:formatCode>
                <c:ptCount val="20"/>
                <c:pt idx="0" formatCode="General">
                  <c:v>171.99546315339936</c:v>
                </c:pt>
                <c:pt idx="1">
                  <c:v>13</c:v>
                </c:pt>
                <c:pt idx="2" formatCode="General">
                  <c:v>93.285025964406785</c:v>
                </c:pt>
                <c:pt idx="3" formatCode="General">
                  <c:v>0.1</c:v>
                </c:pt>
                <c:pt idx="4" formatCode="General">
                  <c:v>1040.9992478375329</c:v>
                </c:pt>
                <c:pt idx="5" formatCode="General">
                  <c:v>172.92831341304341</c:v>
                </c:pt>
                <c:pt idx="6" formatCode="General">
                  <c:v>170.82469999078546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172572.90837942477</c:v>
                </c:pt>
                <c:pt idx="10" formatCode="General">
                  <c:v>4963654.9226457058</c:v>
                </c:pt>
                <c:pt idx="11" formatCode="General">
                  <c:v>1130588.7662050261</c:v>
                </c:pt>
                <c:pt idx="12" formatCode="General">
                  <c:v>1387400.1577562825</c:v>
                </c:pt>
              </c:numCache>
            </c:numRef>
          </c:val>
        </c:ser>
        <c:ser>
          <c:idx val="10"/>
          <c:order val="10"/>
          <c:tx>
            <c:strRef>
              <c:f>ورقة1!$CA$13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ورقة1!$CB$13:$CU$13</c:f>
              <c:numCache>
                <c:formatCode>General</c:formatCode>
                <c:ptCount val="20"/>
                <c:pt idx="0" formatCode="0.00">
                  <c:v>137.69900000000001</c:v>
                </c:pt>
                <c:pt idx="1">
                  <c:v>137.34399999999999</c:v>
                </c:pt>
                <c:pt idx="2">
                  <c:v>137.97399999999999</c:v>
                </c:pt>
                <c:pt idx="3">
                  <c:v>275.18049999999999</c:v>
                </c:pt>
                <c:pt idx="4">
                  <c:v>0.1260250000000129</c:v>
                </c:pt>
                <c:pt idx="5">
                  <c:v>0.39689999999999426</c:v>
                </c:pt>
                <c:pt idx="6" formatCode="0.000">
                  <c:v>274.65757499999995</c:v>
                </c:pt>
                <c:pt idx="7" formatCode="0.0000">
                  <c:v>137.32878749999998</c:v>
                </c:pt>
                <c:pt idx="8">
                  <c:v>1.0025847506989749</c:v>
                </c:pt>
                <c:pt idx="9">
                  <c:v>1.0045870223671947</c:v>
                </c:pt>
                <c:pt idx="10">
                  <c:v>1.0012915413100096</c:v>
                </c:pt>
                <c:pt idx="11">
                  <c:v>1.0022908871017409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137.28972591291185</c:v>
                </c:pt>
              </c:numCache>
            </c:numRef>
          </c:val>
        </c:ser>
        <c:ser>
          <c:idx val="11"/>
          <c:order val="11"/>
          <c:tx>
            <c:strRef>
              <c:f>ورقة1!$CA$14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ورقة1!$CB$14:$CU$14</c:f>
              <c:numCache>
                <c:formatCode>General</c:formatCode>
                <c:ptCount val="20"/>
                <c:pt idx="0" formatCode="0.000">
                  <c:v>137.65139374999998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0.72313553363114935</c:v>
                </c:pt>
                <c:pt idx="6">
                  <c:v>137.25066432582372</c:v>
                </c:pt>
                <c:pt idx="7" formatCode="0.0000">
                  <c:v>137.55334755968389</c:v>
                </c:pt>
                <c:pt idx="8">
                  <c:v>-275.45137499999998</c:v>
                </c:pt>
                <c:pt idx="9">
                  <c:v>274.65757499999995</c:v>
                </c:pt>
                <c:pt idx="10">
                  <c:v>-274.65757500000001</c:v>
                </c:pt>
                <c:pt idx="11">
                  <c:v>275.45137499999998</c:v>
                </c:pt>
                <c:pt idx="19">
                  <c:v>137.30925670645593</c:v>
                </c:pt>
              </c:numCache>
            </c:numRef>
          </c:val>
        </c:ser>
        <c:ser>
          <c:idx val="12"/>
          <c:order val="12"/>
          <c:tx>
            <c:strRef>
              <c:f>ورقة1!$CA$15</c:f>
              <c:strCache>
                <c:ptCount val="1"/>
                <c:pt idx="0">
                  <c:v>EURJPY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ورقة1!$CB$15:$CU$15</c:f>
              <c:numCache>
                <c:formatCode>General</c:formatCode>
                <c:ptCount val="20"/>
                <c:pt idx="0">
                  <c:v>137699</c:v>
                </c:pt>
                <c:pt idx="1">
                  <c:v>137344</c:v>
                </c:pt>
                <c:pt idx="2">
                  <c:v>137974</c:v>
                </c:pt>
                <c:pt idx="3" formatCode="0.00">
                  <c:v>1E-3</c:v>
                </c:pt>
                <c:pt idx="4" formatCode="0.00">
                  <c:v>0.30268323386016505</c:v>
                </c:pt>
                <c:pt idx="5">
                  <c:v>7.8123174176255361E-2</c:v>
                </c:pt>
                <c:pt idx="6">
                  <c:v>0.40072942417626223</c:v>
                </c:pt>
                <c:pt idx="7">
                  <c:v>9.8046190316097181E-2</c:v>
                </c:pt>
                <c:pt idx="8">
                  <c:v>137.55334755968389</c:v>
                </c:pt>
                <c:pt idx="9" formatCode="0.000">
                  <c:v>137.65139374999998</c:v>
                </c:pt>
                <c:pt idx="10" formatCode="0.000">
                  <c:v>137.47564598548527</c:v>
                </c:pt>
                <c:pt idx="11">
                  <c:v>2111815.1140757841</c:v>
                </c:pt>
                <c:pt idx="12">
                  <c:v>2691362.3438326474</c:v>
                </c:pt>
              </c:numCache>
            </c:numRef>
          </c:val>
        </c:ser>
        <c:ser>
          <c:idx val="13"/>
          <c:order val="13"/>
          <c:tx>
            <c:strRef>
              <c:f>ورقة1!$CA$16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ورقة1!$CB$16:$CU$16</c:f>
              <c:numCache>
                <c:formatCode>0.000</c:formatCode>
                <c:ptCount val="20"/>
                <c:pt idx="0" formatCode="General">
                  <c:v>137.70034657849507</c:v>
                </c:pt>
                <c:pt idx="1">
                  <c:v>11</c:v>
                </c:pt>
                <c:pt idx="2" formatCode="General">
                  <c:v>67.809596338169456</c:v>
                </c:pt>
                <c:pt idx="3" formatCode="General">
                  <c:v>0.1</c:v>
                </c:pt>
                <c:pt idx="4" formatCode="General">
                  <c:v>980.46190316097181</c:v>
                </c:pt>
                <c:pt idx="5" formatCode="General">
                  <c:v>138.37844254187678</c:v>
                </c:pt>
                <c:pt idx="6" formatCode="General">
                  <c:v>136.59204201613386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138111.55334755967</c:v>
                </c:pt>
                <c:pt idx="10" formatCode="General">
                  <c:v>4212474.7194627244</c:v>
                </c:pt>
                <c:pt idx="11" formatCode="General">
                  <c:v>952720.65456205676</c:v>
                </c:pt>
                <c:pt idx="12" formatCode="General">
                  <c:v>1170249.9682025709</c:v>
                </c:pt>
              </c:numCache>
            </c:numRef>
          </c:val>
        </c:ser>
        <c:ser>
          <c:idx val="14"/>
          <c:order val="14"/>
          <c:tx>
            <c:strRef>
              <c:f>ورقة1!$CA$17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ورقة1!$CB$17:$CU$17</c:f>
              <c:numCache>
                <c:formatCode>General</c:formatCode>
                <c:ptCount val="20"/>
                <c:pt idx="0" formatCode="0.00">
                  <c:v>137.251</c:v>
                </c:pt>
                <c:pt idx="1">
                  <c:v>137.22</c:v>
                </c:pt>
                <c:pt idx="2">
                  <c:v>137.398</c:v>
                </c:pt>
                <c:pt idx="3">
                  <c:v>274.54449999999997</c:v>
                </c:pt>
                <c:pt idx="4">
                  <c:v>9.6100000000036651E-4</c:v>
                </c:pt>
                <c:pt idx="5">
                  <c:v>3.1683999999999025E-2</c:v>
                </c:pt>
                <c:pt idx="6" formatCode="0.000">
                  <c:v>274.51185499999997</c:v>
                </c:pt>
                <c:pt idx="7" formatCode="0.0000">
                  <c:v>137.25592749999998</c:v>
                </c:pt>
                <c:pt idx="8">
                  <c:v>1.0002259145897101</c:v>
                </c:pt>
                <c:pt idx="9">
                  <c:v>1.0012971869989797</c:v>
                </c:pt>
                <c:pt idx="10">
                  <c:v>1.0001129509159004</c:v>
                </c:pt>
                <c:pt idx="11">
                  <c:v>1.0006483832990387</c:v>
                </c:pt>
                <c:pt idx="12">
                  <c:v>0</c:v>
                </c:pt>
                <c:pt idx="13">
                  <c:v>0</c:v>
                </c:pt>
                <c:pt idx="14">
                  <c:v>1.5625E-2</c:v>
                </c:pt>
                <c:pt idx="15">
                  <c:v>1.5625E-2</c:v>
                </c:pt>
                <c:pt idx="16">
                  <c:v>1.0416666666666666E-2</c:v>
                </c:pt>
                <c:pt idx="17">
                  <c:v>4.1666666666666664E-2</c:v>
                </c:pt>
                <c:pt idx="18">
                  <c:v>1.3888888888888888E-2</c:v>
                </c:pt>
                <c:pt idx="19" formatCode="0.0000">
                  <c:v>137.0506431751148</c:v>
                </c:pt>
              </c:numCache>
            </c:numRef>
          </c:val>
        </c:ser>
        <c:ser>
          <c:idx val="15"/>
          <c:order val="15"/>
          <c:tx>
            <c:strRef>
              <c:f>ورقة1!$CA$18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ورقة1!$CB$18:$CU$18</c:f>
              <c:numCache>
                <c:formatCode>General</c:formatCode>
                <c:ptCount val="20"/>
                <c:pt idx="0" formatCode="0.000">
                  <c:v>137.32696375</c:v>
                </c:pt>
                <c:pt idx="1">
                  <c:v>3.472222222222222E-3</c:v>
                </c:pt>
                <c:pt idx="2">
                  <c:v>1.736111111111111E-3</c:v>
                </c:pt>
                <c:pt idx="3" formatCode="0.000">
                  <c:v>8.6805555555555551E-4</c:v>
                </c:pt>
                <c:pt idx="4">
                  <c:v>1</c:v>
                </c:pt>
                <c:pt idx="5">
                  <c:v>0.18067927385286722</c:v>
                </c:pt>
                <c:pt idx="6">
                  <c:v>136.84535885022962</c:v>
                </c:pt>
                <c:pt idx="7" formatCode="0.0000">
                  <c:v>137.1362505063361</c:v>
                </c:pt>
                <c:pt idx="8">
                  <c:v>-274.57522299999999</c:v>
                </c:pt>
                <c:pt idx="9">
                  <c:v>274.51185499999997</c:v>
                </c:pt>
                <c:pt idx="10">
                  <c:v>-274.51185499999997</c:v>
                </c:pt>
                <c:pt idx="11">
                  <c:v>274.57522299999994</c:v>
                </c:pt>
                <c:pt idx="19">
                  <c:v>137.15328533755741</c:v>
                </c:pt>
              </c:numCache>
            </c:numRef>
          </c:val>
        </c:ser>
        <c:ser>
          <c:idx val="16"/>
          <c:order val="16"/>
          <c:tx>
            <c:strRef>
              <c:f>ورقة1!$CA$19</c:f>
              <c:strCache>
                <c:ptCount val="1"/>
                <c:pt idx="0">
                  <c:v>FLOAT</c:v>
                </c:pt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ورقة1!$CB$19:$CU$19</c:f>
              <c:numCache>
                <c:formatCode>General</c:formatCode>
                <c:ptCount val="20"/>
                <c:pt idx="0">
                  <c:v>137251</c:v>
                </c:pt>
                <c:pt idx="1">
                  <c:v>137220</c:v>
                </c:pt>
                <c:pt idx="2">
                  <c:v>137398</c:v>
                </c:pt>
                <c:pt idx="3" formatCode="0.00">
                  <c:v>1E-3</c:v>
                </c:pt>
                <c:pt idx="4" formatCode="0.00">
                  <c:v>0.29089165610648138</c:v>
                </c:pt>
                <c:pt idx="5">
                  <c:v>0.41056864977036867</c:v>
                </c:pt>
                <c:pt idx="6">
                  <c:v>0.48160489977038878</c:v>
                </c:pt>
                <c:pt idx="7">
                  <c:v>0.19071324366390741</c:v>
                </c:pt>
                <c:pt idx="8">
                  <c:v>138.14126444416914</c:v>
                </c:pt>
                <c:pt idx="9" formatCode="0.000">
                  <c:v>137.32696375</c:v>
                </c:pt>
                <c:pt idx="10" formatCode="0.000">
                  <c:v>137.26989219585246</c:v>
                </c:pt>
                <c:pt idx="11">
                  <c:v>1119365.2960189458</c:v>
                </c:pt>
                <c:pt idx="12">
                  <c:v>1408144.8764890197</c:v>
                </c:pt>
              </c:numCache>
            </c:numRef>
          </c:val>
        </c:ser>
        <c:ser>
          <c:idx val="17"/>
          <c:order val="17"/>
          <c:tx>
            <c:strRef>
              <c:f>ورقة1!$CA$20</c:f>
              <c:strCache>
                <c:ptCount val="1"/>
              </c:strCache>
            </c:strRef>
          </c:tx>
          <c:invertIfNegative val="0"/>
          <c:cat>
            <c:multiLvlStrRef>
              <c:f>ورقة1!$CB$1:$CU$2</c:f>
              <c:multiLvlStrCache>
                <c:ptCount val="20"/>
                <c:lvl>
                  <c:pt idx="0">
                    <c:v>133.71</c:v>
                  </c:pt>
                  <c:pt idx="1">
                    <c:v>0.003472222</c:v>
                  </c:pt>
                  <c:pt idx="2">
                    <c:v>0.001736111</c:v>
                  </c:pt>
                  <c:pt idx="3">
                    <c:v>0.001</c:v>
                  </c:pt>
                  <c:pt idx="4">
                    <c:v>1</c:v>
                  </c:pt>
                  <c:pt idx="5">
                    <c:v>1.15382711</c:v>
                  </c:pt>
                  <c:pt idx="6">
                    <c:v>133.1231345</c:v>
                  </c:pt>
                  <c:pt idx="7">
                    <c:v>133.6352</c:v>
                  </c:pt>
                  <c:pt idx="8">
                    <c:v>-268.047495</c:v>
                  </c:pt>
                  <c:pt idx="9">
                    <c:v>266.181183</c:v>
                  </c:pt>
                  <c:pt idx="10">
                    <c:v>-266.181183</c:v>
                  </c:pt>
                  <c:pt idx="11">
                    <c:v>268.047495</c:v>
                  </c:pt>
                  <c:pt idx="19">
                    <c:v>133.0987272</c:v>
                  </c:pt>
                </c:lvl>
                <c:lvl>
                  <c:pt idx="0">
                    <c:v>133.99</c:v>
                  </c:pt>
                  <c:pt idx="1">
                    <c:v>133.357</c:v>
                  </c:pt>
                  <c:pt idx="2">
                    <c:v>134.323</c:v>
                  </c:pt>
                  <c:pt idx="3">
                    <c:v>267.5125</c:v>
                  </c:pt>
                  <c:pt idx="4">
                    <c:v>0.398161</c:v>
                  </c:pt>
                  <c:pt idx="5">
                    <c:v>0.933156</c:v>
                  </c:pt>
                  <c:pt idx="6">
                    <c:v>266.181</c:v>
                  </c:pt>
                  <c:pt idx="7">
                    <c:v>133.0906</c:v>
                  </c:pt>
                  <c:pt idx="8">
                    <c:v>1.00473166</c:v>
                  </c:pt>
                  <c:pt idx="9">
                    <c:v>1.007243714</c:v>
                  </c:pt>
                  <c:pt idx="10">
                    <c:v>1.002363038</c:v>
                  </c:pt>
                  <c:pt idx="11">
                    <c:v>1.003615322</c:v>
                  </c:pt>
                  <c:pt idx="12">
                    <c:v>0</c:v>
                  </c:pt>
                  <c:pt idx="13">
                    <c:v>0</c:v>
                  </c:pt>
                  <c:pt idx="14">
                    <c:v>0.015625</c:v>
                  </c:pt>
                  <c:pt idx="15">
                    <c:v>0.015625</c:v>
                  </c:pt>
                  <c:pt idx="16">
                    <c:v>0.010416667</c:v>
                  </c:pt>
                  <c:pt idx="17">
                    <c:v>0.041666667</c:v>
                  </c:pt>
                  <c:pt idx="18">
                    <c:v>0.013888889</c:v>
                  </c:pt>
                  <c:pt idx="19">
                    <c:v>133.1069</c:v>
                  </c:pt>
                </c:lvl>
              </c:multiLvlStrCache>
            </c:multiLvlStrRef>
          </c:cat>
          <c:val>
            <c:numRef>
              <c:f>ورقة1!$CB$20:$CU$20</c:f>
              <c:numCache>
                <c:formatCode>0.000</c:formatCode>
                <c:ptCount val="20"/>
                <c:pt idx="0" formatCode="General">
                  <c:v>137.33161864861748</c:v>
                </c:pt>
                <c:pt idx="1">
                  <c:v>11</c:v>
                </c:pt>
                <c:pt idx="2" formatCode="General">
                  <c:v>80.96457955516604</c:v>
                </c:pt>
                <c:pt idx="3" formatCode="General">
                  <c:v>0.1</c:v>
                </c:pt>
                <c:pt idx="4" formatCode="General">
                  <c:v>1907.1324366390741</c:v>
                </c:pt>
                <c:pt idx="5" formatCode="General">
                  <c:v>138.14126444416914</c:v>
                </c:pt>
                <c:pt idx="6" formatCode="General">
                  <c:v>134.50411031328824</c:v>
                </c:pt>
                <c:pt idx="7" formatCode="General">
                  <c:v>1</c:v>
                </c:pt>
                <c:pt idx="8" formatCode="General">
                  <c:v>0</c:v>
                </c:pt>
                <c:pt idx="9" formatCode="General">
                  <c:v>137536.14126444416</c:v>
                </c:pt>
                <c:pt idx="10" formatCode="General">
                  <c:v>2159625.5341295428</c:v>
                </c:pt>
                <c:pt idx="11" formatCode="General">
                  <c:v>541806.13507879735</c:v>
                </c:pt>
                <c:pt idx="12" formatCode="General">
                  <c:v>656664.21884849668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9186816"/>
        <c:axId val="228198080"/>
      </c:barChart>
      <c:catAx>
        <c:axId val="129186816"/>
        <c:scaling>
          <c:orientation val="minMax"/>
        </c:scaling>
        <c:delete val="0"/>
        <c:axPos val="b"/>
        <c:majorTickMark val="out"/>
        <c:minorTickMark val="none"/>
        <c:tickLblPos val="nextTo"/>
        <c:crossAx val="228198080"/>
        <c:crosses val="autoZero"/>
        <c:auto val="1"/>
        <c:lblAlgn val="ctr"/>
        <c:lblOffset val="100"/>
        <c:noMultiLvlLbl val="0"/>
      </c:catAx>
      <c:valAx>
        <c:axId val="228198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91868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75808"/>
        <c:axId val="46978112"/>
      </c:scatterChart>
      <c:valAx>
        <c:axId val="469758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6978112"/>
        <c:crosses val="autoZero"/>
        <c:crossBetween val="midCat"/>
      </c:valAx>
      <c:valAx>
        <c:axId val="46978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69758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79840"/>
        <c:axId val="46980416"/>
      </c:scatterChart>
      <c:valAx>
        <c:axId val="469798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6980416"/>
        <c:crosses val="autoZero"/>
        <c:crossBetween val="midCat"/>
      </c:valAx>
      <c:valAx>
        <c:axId val="469804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4697984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015040"/>
        <c:axId val="51016192"/>
      </c:scatterChart>
      <c:valAx>
        <c:axId val="510150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51016192"/>
        <c:crosses val="autoZero"/>
        <c:crossBetween val="midCat"/>
      </c:valAx>
      <c:valAx>
        <c:axId val="51016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51015040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95776"/>
        <c:axId val="59996352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97504"/>
        <c:axId val="59996928"/>
      </c:scatterChart>
      <c:valAx>
        <c:axId val="5999577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59996352"/>
        <c:crosses val="autoZero"/>
        <c:crossBetween val="midCat"/>
      </c:valAx>
      <c:valAx>
        <c:axId val="599963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59995776"/>
        <c:crosses val="autoZero"/>
        <c:crossBetween val="midCat"/>
      </c:valAx>
      <c:valAx>
        <c:axId val="5999692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59997504"/>
        <c:crosses val="max"/>
        <c:crossBetween val="midCat"/>
      </c:valAx>
      <c:valAx>
        <c:axId val="59997504"/>
        <c:scaling>
          <c:orientation val="minMax"/>
        </c:scaling>
        <c:delete val="1"/>
        <c:axPos val="b"/>
        <c:majorTickMark val="out"/>
        <c:minorTickMark val="none"/>
        <c:tickLblPos val="nextTo"/>
        <c:crossAx val="59996928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layout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582784"/>
        <c:axId val="129583360"/>
      </c:scatterChart>
      <c:valAx>
        <c:axId val="1295827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3360"/>
        <c:crosses val="autoZero"/>
        <c:crossBetween val="midCat"/>
      </c:valAx>
      <c:valAx>
        <c:axId val="129583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278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586816"/>
        <c:axId val="129587392"/>
      </c:scatterChart>
      <c:valAx>
        <c:axId val="1295868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7392"/>
        <c:crosses val="autoZero"/>
        <c:crossBetween val="midCat"/>
      </c:valAx>
      <c:valAx>
        <c:axId val="129587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681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583936"/>
        <c:axId val="129584512"/>
      </c:scatterChart>
      <c:valAx>
        <c:axId val="1295839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4512"/>
        <c:crosses val="autoZero"/>
        <c:crossBetween val="midCat"/>
      </c:valAx>
      <c:valAx>
        <c:axId val="129584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393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585088"/>
        <c:axId val="235732992"/>
      </c:scatterChart>
      <c:valAx>
        <c:axId val="1295850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2992"/>
        <c:crosses val="autoZero"/>
        <c:crossBetween val="midCat"/>
      </c:valAx>
      <c:valAx>
        <c:axId val="235732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58508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616128"/>
        <c:axId val="129616704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617856"/>
        <c:axId val="129617280"/>
      </c:scatterChart>
      <c:valAx>
        <c:axId val="129616128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616704"/>
        <c:crosses val="autoZero"/>
        <c:crossBetween val="midCat"/>
      </c:valAx>
      <c:valAx>
        <c:axId val="129616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616128"/>
        <c:crosses val="autoZero"/>
        <c:crossBetween val="midCat"/>
      </c:valAx>
      <c:valAx>
        <c:axId val="1296172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617856"/>
        <c:crosses val="max"/>
        <c:crossBetween val="midCat"/>
      </c:valAx>
      <c:valAx>
        <c:axId val="129617856"/>
        <c:scaling>
          <c:orientation val="minMax"/>
        </c:scaling>
        <c:delete val="1"/>
        <c:axPos val="b"/>
        <c:majorTickMark val="out"/>
        <c:minorTickMark val="none"/>
        <c:tickLblPos val="nextTo"/>
        <c:crossAx val="12961728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620160"/>
        <c:axId val="129620736"/>
      </c:scatterChart>
      <c:valAx>
        <c:axId val="1296201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620736"/>
        <c:crosses val="autoZero"/>
        <c:crossBetween val="midCat"/>
      </c:valAx>
      <c:valAx>
        <c:axId val="129620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62016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743616"/>
        <c:axId val="201967872"/>
      </c:scatterChart>
      <c:valAx>
        <c:axId val="1297436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967872"/>
        <c:crosses val="autoZero"/>
        <c:crossBetween val="midCat"/>
      </c:valAx>
      <c:valAx>
        <c:axId val="201967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74361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969600"/>
        <c:axId val="201970176"/>
      </c:scatterChart>
      <c:valAx>
        <c:axId val="20196960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970176"/>
        <c:crosses val="autoZero"/>
        <c:crossBetween val="midCat"/>
      </c:valAx>
      <c:valAx>
        <c:axId val="201970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96960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1971904"/>
        <c:axId val="201972480"/>
      </c:scatterChart>
      <c:valAx>
        <c:axId val="2019719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972480"/>
        <c:crosses val="autoZero"/>
        <c:crossBetween val="midCat"/>
      </c:valAx>
      <c:valAx>
        <c:axId val="201972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1971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487552"/>
        <c:axId val="207488128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489280"/>
        <c:axId val="207488704"/>
      </c:scatterChart>
      <c:valAx>
        <c:axId val="207487552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488128"/>
        <c:crosses val="autoZero"/>
        <c:crossBetween val="midCat"/>
      </c:valAx>
      <c:valAx>
        <c:axId val="207488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487552"/>
        <c:crosses val="autoZero"/>
        <c:crossBetween val="midCat"/>
      </c:valAx>
      <c:valAx>
        <c:axId val="20748870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489280"/>
        <c:crosses val="max"/>
        <c:crossBetween val="midCat"/>
      </c:valAx>
      <c:valAx>
        <c:axId val="207489280"/>
        <c:scaling>
          <c:orientation val="minMax"/>
        </c:scaling>
        <c:delete val="1"/>
        <c:axPos val="b"/>
        <c:majorTickMark val="out"/>
        <c:minorTickMark val="none"/>
        <c:tickLblPos val="nextTo"/>
        <c:crossAx val="207488704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493888"/>
        <c:axId val="207548928"/>
      </c:scatterChart>
      <c:valAx>
        <c:axId val="20749388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548928"/>
        <c:crosses val="autoZero"/>
        <c:crossBetween val="midCat"/>
      </c:valAx>
      <c:valAx>
        <c:axId val="207548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49388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550656"/>
        <c:axId val="207551232"/>
      </c:scatterChart>
      <c:valAx>
        <c:axId val="2075506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551232"/>
        <c:crosses val="autoZero"/>
        <c:crossBetween val="midCat"/>
      </c:valAx>
      <c:valAx>
        <c:axId val="207551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075506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591168"/>
        <c:axId val="216591744"/>
      </c:scatterChart>
      <c:valAx>
        <c:axId val="21659116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1744"/>
        <c:crosses val="autoZero"/>
        <c:crossBetween val="midCat"/>
      </c:valAx>
      <c:valAx>
        <c:axId val="216591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116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593472"/>
        <c:axId val="216594048"/>
      </c:scatterChart>
      <c:valAx>
        <c:axId val="2165934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4048"/>
        <c:crosses val="autoZero"/>
        <c:crossBetween val="midCat"/>
      </c:valAx>
      <c:valAx>
        <c:axId val="216594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347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6595200"/>
        <c:axId val="216595776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05632"/>
        <c:axId val="233005056"/>
      </c:scatterChart>
      <c:valAx>
        <c:axId val="216595200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5776"/>
        <c:crosses val="autoZero"/>
        <c:crossBetween val="midCat"/>
      </c:valAx>
      <c:valAx>
        <c:axId val="216595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16595200"/>
        <c:crosses val="autoZero"/>
        <c:crossBetween val="midCat"/>
      </c:valAx>
      <c:valAx>
        <c:axId val="2330050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005632"/>
        <c:crosses val="max"/>
        <c:crossBetween val="midCat"/>
      </c:valAx>
      <c:valAx>
        <c:axId val="233005632"/>
        <c:scaling>
          <c:orientation val="minMax"/>
        </c:scaling>
        <c:delete val="1"/>
        <c:axPos val="b"/>
        <c:majorTickMark val="out"/>
        <c:minorTickMark val="none"/>
        <c:tickLblPos val="nextTo"/>
        <c:crossAx val="233005056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010240"/>
        <c:axId val="233010816"/>
      </c:scatterChart>
      <c:valAx>
        <c:axId val="23301024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010816"/>
        <c:crosses val="autoZero"/>
        <c:crossBetween val="midCat"/>
      </c:valAx>
      <c:valAx>
        <c:axId val="233010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01024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885632"/>
        <c:axId val="233886208"/>
      </c:scatterChart>
      <c:valAx>
        <c:axId val="23388563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886208"/>
        <c:crosses val="autoZero"/>
        <c:crossBetween val="midCat"/>
      </c:valAx>
      <c:valAx>
        <c:axId val="233886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88563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3887936"/>
        <c:axId val="233888512"/>
      </c:scatterChart>
      <c:valAx>
        <c:axId val="2338879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888512"/>
        <c:crosses val="autoZero"/>
        <c:crossBetween val="midCat"/>
      </c:valAx>
      <c:valAx>
        <c:axId val="233888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388793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734144"/>
        <c:axId val="235734720"/>
      </c:scatterChart>
      <c:valAx>
        <c:axId val="23573414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4720"/>
        <c:crosses val="autoZero"/>
        <c:crossBetween val="midCat"/>
      </c:valAx>
      <c:valAx>
        <c:axId val="2357347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41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736448"/>
        <c:axId val="235737024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738176"/>
        <c:axId val="235737600"/>
      </c:scatterChart>
      <c:valAx>
        <c:axId val="235736448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7024"/>
        <c:crosses val="autoZero"/>
        <c:crossBetween val="midCat"/>
      </c:valAx>
      <c:valAx>
        <c:axId val="235737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6448"/>
        <c:crosses val="autoZero"/>
        <c:crossBetween val="midCat"/>
      </c:valAx>
      <c:valAx>
        <c:axId val="23573760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35738176"/>
        <c:crosses val="max"/>
        <c:crossBetween val="midCat"/>
      </c:valAx>
      <c:valAx>
        <c:axId val="235738176"/>
        <c:scaling>
          <c:orientation val="minMax"/>
        </c:scaling>
        <c:delete val="1"/>
        <c:axPos val="b"/>
        <c:majorTickMark val="out"/>
        <c:minorTickMark val="none"/>
        <c:tickLblPos val="nextTo"/>
        <c:crossAx val="23573760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898161407572644"/>
          <c:y val="4.2670246067102791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71904"/>
        <c:axId val="268772480"/>
      </c:scatterChart>
      <c:valAx>
        <c:axId val="26877190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2480"/>
        <c:crosses val="autoZero"/>
        <c:crossBetween val="midCat"/>
      </c:valAx>
      <c:valAx>
        <c:axId val="268772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1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[7]Sheet1!$D$8:$D$11</c:f>
              <c:numCache>
                <c:formatCode>General</c:formatCode>
                <c:ptCount val="4"/>
                <c:pt idx="0">
                  <c:v>133997.48374197999</c:v>
                </c:pt>
                <c:pt idx="1">
                  <c:v>133997.048374198</c:v>
                </c:pt>
                <c:pt idx="2">
                  <c:v>133557.426367782</c:v>
                </c:pt>
                <c:pt idx="3">
                  <c:v>133556.99100000001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74208"/>
        <c:axId val="268774784"/>
      </c:scatterChart>
      <c:valAx>
        <c:axId val="268774208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4784"/>
        <c:crosses val="autoZero"/>
        <c:crossBetween val="midCat"/>
      </c:valAx>
      <c:valAx>
        <c:axId val="2687747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42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yVal>
            <c:numRef>
              <c:f>[7]Sheet1!$F$8:$F$11</c:f>
              <c:numCache>
                <c:formatCode>General</c:formatCode>
                <c:ptCount val="4"/>
                <c:pt idx="0">
                  <c:v>133987.87188851601</c:v>
                </c:pt>
                <c:pt idx="1">
                  <c:v>133987.81068659545</c:v>
                </c:pt>
                <c:pt idx="2">
                  <c:v>133676.9390211766</c:v>
                </c:pt>
                <c:pt idx="3">
                  <c:v>133676.87781925604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76512"/>
        <c:axId val="268777088"/>
      </c:scatterChart>
      <c:valAx>
        <c:axId val="2687765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7088"/>
        <c:crosses val="autoZero"/>
        <c:crossBetween val="midCat"/>
      </c:valAx>
      <c:valAx>
        <c:axId val="268777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651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42171961603933061"/>
          <c:y val="0.12704165434571388"/>
          <c:w val="0.33335771210018073"/>
          <c:h val="0.71475979733171791"/>
        </c:manualLayout>
      </c:layout>
      <c:scatterChart>
        <c:scatterStyle val="smoothMarker"/>
        <c:varyColors val="0"/>
        <c:ser>
          <c:idx val="0"/>
          <c:order val="0"/>
          <c:yVal>
            <c:numRef>
              <c:f>[7]Sheet1!$H$8:$H$11</c:f>
              <c:numCache>
                <c:formatCode>General</c:formatCode>
                <c:ptCount val="4"/>
                <c:pt idx="0">
                  <c:v>133683.30883969442</c:v>
                </c:pt>
                <c:pt idx="1">
                  <c:v>133682.92294491222</c:v>
                </c:pt>
                <c:pt idx="2">
                  <c:v>133653.56158977366</c:v>
                </c:pt>
                <c:pt idx="3">
                  <c:v>133653.17569499146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79520"/>
        <c:axId val="268780096"/>
      </c:scatterChart>
      <c:valAx>
        <c:axId val="26877952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80096"/>
        <c:crosses val="autoZero"/>
        <c:crossBetween val="midCat"/>
      </c:valAx>
      <c:valAx>
        <c:axId val="268780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7952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713867282494612E-2"/>
          <c:y val="2.6200636424871766E-2"/>
          <c:w val="0.87230376525307862"/>
          <c:h val="0.92176006317794346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FF0000"/>
              </a:solidFill>
            </a:ln>
          </c:spPr>
          <c:marker>
            <c:symbol val="none"/>
          </c:marker>
          <c:yVal>
            <c:numRef>
              <c:f>[7]Sheet1!$A$19:$H$19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133997</c:v>
                </c:pt>
                <c:pt idx="7">
                  <c:v>133676.88093412007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yVal>
            <c:numRef>
              <c:f>[7]Sheet1!$A$20:$H$20</c:f>
              <c:numCache>
                <c:formatCode>General</c:formatCode>
                <c:ptCount val="8"/>
                <c:pt idx="0">
                  <c:v>133653.18104054002</c:v>
                </c:pt>
                <c:pt idx="1">
                  <c:v>133683.25526041666</c:v>
                </c:pt>
                <c:pt idx="2">
                  <c:v>133676.88093412007</c:v>
                </c:pt>
                <c:pt idx="3">
                  <c:v>133987.70915652683</c:v>
                </c:pt>
                <c:pt idx="4">
                  <c:v>133557</c:v>
                </c:pt>
                <c:pt idx="5">
                  <c:v>133997</c:v>
                </c:pt>
                <c:pt idx="6">
                  <c:v>133726.68139504537</c:v>
                </c:pt>
                <c:pt idx="7">
                  <c:v>133987.17244602984</c:v>
                </c:pt>
              </c:numCache>
            </c:numRef>
          </c:yVal>
          <c:smooth val="1"/>
        </c:ser>
        <c:ser>
          <c:idx val="2"/>
          <c:order val="2"/>
          <c:marker>
            <c:symbol val="none"/>
          </c:marker>
          <c:yVal>
            <c:numRef>
              <c:f>[7]Sheet1!$A$21:$H$21</c:f>
              <c:numCache>
                <c:formatCode>General</c:formatCode>
                <c:ptCount val="8"/>
                <c:pt idx="0">
                  <c:v>133997</c:v>
                </c:pt>
                <c:pt idx="1">
                  <c:v>134849.77291051656</c:v>
                </c:pt>
                <c:pt idx="2">
                  <c:v>134789.17224968076</c:v>
                </c:pt>
                <c:pt idx="3">
                  <c:v>134880.08686383915</c:v>
                </c:pt>
                <c:pt idx="4">
                  <c:v>134743.74558265845</c:v>
                </c:pt>
                <c:pt idx="5">
                  <c:v>134811.91622324882</c:v>
                </c:pt>
                <c:pt idx="6">
                  <c:v>134709.67749836275</c:v>
                </c:pt>
                <c:pt idx="7">
                  <c:v>134760.78393271641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82976"/>
        <c:axId val="268784128"/>
      </c:scatterChart>
      <c:scatterChart>
        <c:scatterStyle val="smoothMarker"/>
        <c:varyColors val="0"/>
        <c:ser>
          <c:idx val="3"/>
          <c:order val="3"/>
          <c:marker>
            <c:symbol val="none"/>
          </c:marker>
          <c:yVal>
            <c:numRef>
              <c:f>[7]Sheet1!$A$22:$H$22</c:f>
              <c:numCache>
                <c:formatCode>General</c:formatCode>
                <c:ptCount val="8"/>
                <c:pt idx="0">
                  <c:v>133997</c:v>
                </c:pt>
                <c:pt idx="1">
                  <c:v>134057.24450343067</c:v>
                </c:pt>
                <c:pt idx="2">
                  <c:v>133966.89128503983</c:v>
                </c:pt>
                <c:pt idx="3">
                  <c:v>134117.51609254381</c:v>
                </c:pt>
                <c:pt idx="4">
                  <c:v>133906.70091342286</c:v>
                </c:pt>
                <c:pt idx="5">
                  <c:v>134072.32594202866</c:v>
                </c:pt>
                <c:pt idx="6">
                  <c:v>133869.08446901725</c:v>
                </c:pt>
                <c:pt idx="7">
                  <c:v>134061.01887886616</c:v>
                </c:pt>
              </c:numCache>
            </c:numRef>
          </c:yVal>
          <c:smooth val="1"/>
        </c:ser>
        <c:ser>
          <c:idx val="4"/>
          <c:order val="4"/>
          <c:marker>
            <c:spPr>
              <a:scene3d>
                <a:camera prst="orthographicFront"/>
                <a:lightRig rig="threePt" dir="t"/>
              </a:scene3d>
              <a:sp3d>
                <a:bevelT/>
                <a:bevelB w="6350"/>
              </a:sp3d>
            </c:spPr>
          </c:marker>
          <c:yVal>
            <c:numRef>
              <c:f>[7]Sheet1!$A$23:$H$23</c:f>
              <c:numCache>
                <c:formatCode>General</c:formatCode>
                <c:ptCount val="8"/>
                <c:pt idx="0">
                  <c:v>133997</c:v>
                </c:pt>
                <c:pt idx="1">
                  <c:v>133676.88093412007</c:v>
                </c:pt>
                <c:pt idx="2">
                  <c:v>134323.90864034253</c:v>
                </c:pt>
                <c:pt idx="3">
                  <c:v>134124.91405042191</c:v>
                </c:pt>
                <c:pt idx="4">
                  <c:v>135311.75803853659</c:v>
                </c:pt>
                <c:pt idx="5">
                  <c:v>134485.13847803744</c:v>
                </c:pt>
                <c:pt idx="6">
                  <c:v>134955.37232166811</c:v>
                </c:pt>
                <c:pt idx="7">
                  <c:v>134896.54913659208</c:v>
                </c:pt>
              </c:numCache>
            </c:numRef>
          </c:yVal>
          <c:smooth val="1"/>
        </c:ser>
        <c:ser>
          <c:idx val="5"/>
          <c:order val="5"/>
          <c:marker>
            <c:symbol val="none"/>
          </c:marker>
          <c:yVal>
            <c:numRef>
              <c:f>[7]Sheet1!$A$24:$H$24</c:f>
              <c:numCache>
                <c:formatCode>General</c:formatCode>
                <c:ptCount val="8"/>
                <c:pt idx="0">
                  <c:v>133557</c:v>
                </c:pt>
                <c:pt idx="1">
                  <c:v>133997</c:v>
                </c:pt>
                <c:pt idx="2">
                  <c:v>135311.75803853659</c:v>
                </c:pt>
                <c:pt idx="3">
                  <c:v>135252.92784739329</c:v>
                </c:pt>
                <c:pt idx="4">
                  <c:v>134522.90323026312</c:v>
                </c:pt>
                <c:pt idx="5">
                  <c:v>133557</c:v>
                </c:pt>
                <c:pt idx="6">
                  <c:v>133997</c:v>
                </c:pt>
                <c:pt idx="7">
                  <c:v>135311.75803853659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8787008"/>
        <c:axId val="268785280"/>
      </c:scatterChart>
      <c:valAx>
        <c:axId val="268782976"/>
        <c:scaling>
          <c:orientation val="minMax"/>
        </c:scaling>
        <c:delete val="0"/>
        <c:axPos val="b"/>
        <c:numFmt formatCode="0.0000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84128"/>
        <c:crosses val="autoZero"/>
        <c:crossBetween val="midCat"/>
      </c:valAx>
      <c:valAx>
        <c:axId val="268784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82976"/>
        <c:crosses val="autoZero"/>
        <c:crossBetween val="midCat"/>
      </c:valAx>
      <c:valAx>
        <c:axId val="2687852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268787008"/>
        <c:crosses val="max"/>
        <c:crossBetween val="midCat"/>
      </c:valAx>
      <c:valAx>
        <c:axId val="268787008"/>
        <c:scaling>
          <c:orientation val="minMax"/>
        </c:scaling>
        <c:delete val="1"/>
        <c:axPos val="b"/>
        <c:majorTickMark val="out"/>
        <c:minorTickMark val="none"/>
        <c:tickLblPos val="nextTo"/>
        <c:crossAx val="268785280"/>
        <c:crosses val="autoZero"/>
        <c:crossBetween val="midCat"/>
      </c:valAx>
      <c:spPr>
        <a:scene3d>
          <a:camera prst="orthographicFront"/>
          <a:lightRig rig="threePt" dir="t"/>
        </a:scene3d>
        <a:sp3d>
          <a:bevelT w="38100"/>
        </a:sp3d>
      </c:spPr>
    </c:plotArea>
    <c:legend>
      <c:legendPos val="r"/>
      <c:overlay val="0"/>
      <c:txPr>
        <a:bodyPr/>
        <a:lstStyle/>
        <a:p>
          <a:pPr rtl="0">
            <a:defRPr lang="en-US" sz="4800" i="0"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12785905011204"/>
          <c:y val="4.8721681841713972E-2"/>
          <c:w val="0.82251767269758524"/>
          <c:h val="0.89060767136224728"/>
        </c:manualLayout>
      </c:layout>
      <c:scatterChart>
        <c:scatterStyle val="lineMarker"/>
        <c:varyColors val="0"/>
        <c:ser>
          <c:idx val="0"/>
          <c:order val="0"/>
          <c:yVal>
            <c:numRef>
              <c:f>[7]Sheet1!$M$13:$P$13</c:f>
              <c:numCache>
                <c:formatCode>General</c:formatCode>
                <c:ptCount val="4"/>
                <c:pt idx="0">
                  <c:v>133557</c:v>
                </c:pt>
                <c:pt idx="1">
                  <c:v>133997</c:v>
                </c:pt>
                <c:pt idx="2">
                  <c:v>135292.14797482218</c:v>
                </c:pt>
                <c:pt idx="3">
                  <c:v>134134.90298472659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713856"/>
        <c:axId val="129714432"/>
      </c:scatterChart>
      <c:valAx>
        <c:axId val="12971385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714432"/>
        <c:crosses val="autoZero"/>
        <c:crossBetween val="midCat"/>
      </c:valAx>
      <c:valAx>
        <c:axId val="1297144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297138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lang="en-US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[8]ورقة1!$W$6:$W$11</c:f>
              <c:numCache>
                <c:formatCode>General</c:formatCode>
                <c:ptCount val="6"/>
                <c:pt idx="0">
                  <c:v>137059.45788183319</c:v>
                </c:pt>
                <c:pt idx="1">
                  <c:v>136781.49532481784</c:v>
                </c:pt>
                <c:pt idx="2">
                  <c:v>137503.46183539685</c:v>
                </c:pt>
                <c:pt idx="3">
                  <c:v>136617.40154061595</c:v>
                </c:pt>
                <c:pt idx="4">
                  <c:v>-1</c:v>
                </c:pt>
                <c:pt idx="5">
                  <c:v>137060.43168800639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05216"/>
        <c:axId val="129716160"/>
      </c:lineChart>
      <c:catAx>
        <c:axId val="106505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29716160"/>
        <c:crosses val="autoZero"/>
        <c:auto val="1"/>
        <c:lblAlgn val="ctr"/>
        <c:lblOffset val="100"/>
        <c:noMultiLvlLbl val="0"/>
      </c:catAx>
      <c:valAx>
        <c:axId val="129716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505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[8]ورقة1!$S$6:$S$11</c:f>
              <c:numCache>
                <c:formatCode>General</c:formatCode>
                <c:ptCount val="6"/>
                <c:pt idx="0">
                  <c:v>171676.60070069568</c:v>
                </c:pt>
                <c:pt idx="1">
                  <c:v>172842.71356118334</c:v>
                </c:pt>
                <c:pt idx="2">
                  <c:v>172318.09199723875</c:v>
                </c:pt>
                <c:pt idx="3">
                  <c:v>171412.01799394825</c:v>
                </c:pt>
                <c:pt idx="4">
                  <c:v>171085.47540192737</c:v>
                </c:pt>
                <c:pt idx="5">
                  <c:v>170203.15107434001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05728"/>
        <c:axId val="129717888"/>
      </c:lineChart>
      <c:catAx>
        <c:axId val="106505728"/>
        <c:scaling>
          <c:orientation val="minMax"/>
        </c:scaling>
        <c:delete val="0"/>
        <c:axPos val="b"/>
        <c:majorTickMark val="out"/>
        <c:minorTickMark val="none"/>
        <c:tickLblPos val="nextTo"/>
        <c:crossAx val="129717888"/>
        <c:crosses val="autoZero"/>
        <c:auto val="1"/>
        <c:lblAlgn val="ctr"/>
        <c:lblOffset val="100"/>
        <c:noMultiLvlLbl val="0"/>
      </c:catAx>
      <c:valAx>
        <c:axId val="12971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505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[8]ورقة1!$H$6:$H$9</c:f>
              <c:numCache>
                <c:formatCode>General</c:formatCode>
                <c:ptCount val="4"/>
                <c:pt idx="0">
                  <c:v>166782.93929020865</c:v>
                </c:pt>
                <c:pt idx="1">
                  <c:v>166368.8533078066</c:v>
                </c:pt>
                <c:pt idx="2">
                  <c:v>166988.71650005842</c:v>
                </c:pt>
                <c:pt idx="3">
                  <c:v>165975.17829468945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06240"/>
        <c:axId val="129719616"/>
      </c:lineChart>
      <c:catAx>
        <c:axId val="106506240"/>
        <c:scaling>
          <c:orientation val="minMax"/>
        </c:scaling>
        <c:delete val="0"/>
        <c:axPos val="b"/>
        <c:majorTickMark val="out"/>
        <c:minorTickMark val="none"/>
        <c:tickLblPos val="nextTo"/>
        <c:crossAx val="129719616"/>
        <c:crosses val="autoZero"/>
        <c:auto val="1"/>
        <c:lblAlgn val="ctr"/>
        <c:lblOffset val="100"/>
        <c:noMultiLvlLbl val="0"/>
      </c:catAx>
      <c:valAx>
        <c:axId val="129719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5062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val>
            <c:numRef>
              <c:f>[9]ورقة1!$A$9:$K$9</c:f>
              <c:numCache>
                <c:formatCode>General</c:formatCode>
                <c:ptCount val="11"/>
                <c:pt idx="0">
                  <c:v>133183</c:v>
                </c:pt>
                <c:pt idx="1">
                  <c:v>133669</c:v>
                </c:pt>
                <c:pt idx="2">
                  <c:v>132591</c:v>
                </c:pt>
                <c:pt idx="3">
                  <c:v>133291</c:v>
                </c:pt>
                <c:pt idx="4">
                  <c:v>132457</c:v>
                </c:pt>
                <c:pt idx="5">
                  <c:v>132882</c:v>
                </c:pt>
                <c:pt idx="6">
                  <c:v>132212</c:v>
                </c:pt>
                <c:pt idx="7">
                  <c:v>132968</c:v>
                </c:pt>
                <c:pt idx="8">
                  <c:v>132454.49206511973</c:v>
                </c:pt>
                <c:pt idx="9">
                  <c:v>132284.63645971022</c:v>
                </c:pt>
                <c:pt idx="10">
                  <c:v>132308.0340923233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06752"/>
        <c:axId val="203000064"/>
      </c:lineChart>
      <c:catAx>
        <c:axId val="106506752"/>
        <c:scaling>
          <c:orientation val="minMax"/>
        </c:scaling>
        <c:delete val="0"/>
        <c:axPos val="b"/>
        <c:majorTickMark val="out"/>
        <c:minorTickMark val="none"/>
        <c:tickLblPos val="nextTo"/>
        <c:crossAx val="203000064"/>
        <c:crosses val="autoZero"/>
        <c:auto val="1"/>
        <c:lblAlgn val="ctr"/>
        <c:lblOffset val="100"/>
        <c:noMultiLvlLbl val="0"/>
      </c:catAx>
      <c:valAx>
        <c:axId val="203000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506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4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8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5.xml"/><Relationship Id="rId18" Type="http://schemas.openxmlformats.org/officeDocument/2006/relationships/chart" Target="../charts/chart20.xml"/><Relationship Id="rId26" Type="http://schemas.openxmlformats.org/officeDocument/2006/relationships/chart" Target="../charts/chart28.xml"/><Relationship Id="rId3" Type="http://schemas.openxmlformats.org/officeDocument/2006/relationships/chart" Target="../charts/chart5.xml"/><Relationship Id="rId21" Type="http://schemas.openxmlformats.org/officeDocument/2006/relationships/chart" Target="../charts/chart23.xml"/><Relationship Id="rId34" Type="http://schemas.openxmlformats.org/officeDocument/2006/relationships/chart" Target="../charts/chart36.xml"/><Relationship Id="rId7" Type="http://schemas.openxmlformats.org/officeDocument/2006/relationships/chart" Target="../charts/chart9.xml"/><Relationship Id="rId12" Type="http://schemas.openxmlformats.org/officeDocument/2006/relationships/chart" Target="../charts/chart14.xml"/><Relationship Id="rId17" Type="http://schemas.openxmlformats.org/officeDocument/2006/relationships/chart" Target="../charts/chart19.xml"/><Relationship Id="rId25" Type="http://schemas.openxmlformats.org/officeDocument/2006/relationships/chart" Target="../charts/chart27.xml"/><Relationship Id="rId33" Type="http://schemas.openxmlformats.org/officeDocument/2006/relationships/chart" Target="../charts/chart35.xml"/><Relationship Id="rId2" Type="http://schemas.openxmlformats.org/officeDocument/2006/relationships/chart" Target="../charts/chart4.xml"/><Relationship Id="rId16" Type="http://schemas.openxmlformats.org/officeDocument/2006/relationships/chart" Target="../charts/chart18.xml"/><Relationship Id="rId20" Type="http://schemas.openxmlformats.org/officeDocument/2006/relationships/chart" Target="../charts/chart22.xml"/><Relationship Id="rId29" Type="http://schemas.openxmlformats.org/officeDocument/2006/relationships/chart" Target="../charts/chart31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11" Type="http://schemas.openxmlformats.org/officeDocument/2006/relationships/chart" Target="../charts/chart13.xml"/><Relationship Id="rId24" Type="http://schemas.openxmlformats.org/officeDocument/2006/relationships/chart" Target="../charts/chart26.xml"/><Relationship Id="rId32" Type="http://schemas.openxmlformats.org/officeDocument/2006/relationships/chart" Target="../charts/chart34.xml"/><Relationship Id="rId5" Type="http://schemas.openxmlformats.org/officeDocument/2006/relationships/chart" Target="../charts/chart7.xml"/><Relationship Id="rId15" Type="http://schemas.openxmlformats.org/officeDocument/2006/relationships/chart" Target="../charts/chart17.xml"/><Relationship Id="rId23" Type="http://schemas.openxmlformats.org/officeDocument/2006/relationships/chart" Target="../charts/chart25.xml"/><Relationship Id="rId28" Type="http://schemas.openxmlformats.org/officeDocument/2006/relationships/chart" Target="../charts/chart30.xml"/><Relationship Id="rId10" Type="http://schemas.openxmlformats.org/officeDocument/2006/relationships/chart" Target="../charts/chart12.xml"/><Relationship Id="rId19" Type="http://schemas.openxmlformats.org/officeDocument/2006/relationships/chart" Target="../charts/chart21.xml"/><Relationship Id="rId31" Type="http://schemas.openxmlformats.org/officeDocument/2006/relationships/chart" Target="../charts/chart33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Relationship Id="rId14" Type="http://schemas.openxmlformats.org/officeDocument/2006/relationships/chart" Target="../charts/chart16.xml"/><Relationship Id="rId22" Type="http://schemas.openxmlformats.org/officeDocument/2006/relationships/chart" Target="../charts/chart24.xml"/><Relationship Id="rId27" Type="http://schemas.openxmlformats.org/officeDocument/2006/relationships/chart" Target="../charts/chart29.xml"/><Relationship Id="rId30" Type="http://schemas.openxmlformats.org/officeDocument/2006/relationships/chart" Target="../charts/chart32.xml"/><Relationship Id="rId8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4554" cy="62933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4554" cy="62933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13229</xdr:colOff>
      <xdr:row>69</xdr:row>
      <xdr:rowOff>142875</xdr:rowOff>
    </xdr:from>
    <xdr:to>
      <xdr:col>3</xdr:col>
      <xdr:colOff>1666875</xdr:colOff>
      <xdr:row>72</xdr:row>
      <xdr:rowOff>357185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9223</xdr:colOff>
      <xdr:row>69</xdr:row>
      <xdr:rowOff>476250</xdr:rowOff>
    </xdr:from>
    <xdr:to>
      <xdr:col>6</xdr:col>
      <xdr:colOff>95250</xdr:colOff>
      <xdr:row>72</xdr:row>
      <xdr:rowOff>452437</xdr:rowOff>
    </xdr:to>
    <xdr:graphicFrame macro="">
      <xdr:nvGraphicFramePr>
        <xdr:cNvPr id="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254000</xdr:colOff>
      <xdr:row>67</xdr:row>
      <xdr:rowOff>222249</xdr:rowOff>
    </xdr:from>
    <xdr:to>
      <xdr:col>8</xdr:col>
      <xdr:colOff>635000</xdr:colOff>
      <xdr:row>72</xdr:row>
      <xdr:rowOff>674686</xdr:rowOff>
    </xdr:to>
    <xdr:graphicFrame macro="">
      <xdr:nvGraphicFramePr>
        <xdr:cNvPr id="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857250</xdr:colOff>
      <xdr:row>62</xdr:row>
      <xdr:rowOff>47624</xdr:rowOff>
    </xdr:from>
    <xdr:to>
      <xdr:col>14</xdr:col>
      <xdr:colOff>571500</xdr:colOff>
      <xdr:row>71</xdr:row>
      <xdr:rowOff>23812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</xdr:colOff>
      <xdr:row>75</xdr:row>
      <xdr:rowOff>31750</xdr:rowOff>
    </xdr:from>
    <xdr:to>
      <xdr:col>3</xdr:col>
      <xdr:colOff>1873251</xdr:colOff>
      <xdr:row>88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13229</xdr:colOff>
      <xdr:row>95</xdr:row>
      <xdr:rowOff>142875</xdr:rowOff>
    </xdr:from>
    <xdr:to>
      <xdr:col>3</xdr:col>
      <xdr:colOff>1666875</xdr:colOff>
      <xdr:row>98</xdr:row>
      <xdr:rowOff>357185</xdr:rowOff>
    </xdr:to>
    <xdr:graphicFrame macro="">
      <xdr:nvGraphicFramePr>
        <xdr:cNvPr id="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9223</xdr:colOff>
      <xdr:row>95</xdr:row>
      <xdr:rowOff>476250</xdr:rowOff>
    </xdr:from>
    <xdr:to>
      <xdr:col>6</xdr:col>
      <xdr:colOff>95250</xdr:colOff>
      <xdr:row>98</xdr:row>
      <xdr:rowOff>452437</xdr:rowOff>
    </xdr:to>
    <xdr:graphicFrame macro="">
      <xdr:nvGraphicFramePr>
        <xdr:cNvPr id="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2476500</xdr:colOff>
      <xdr:row>93</xdr:row>
      <xdr:rowOff>-1</xdr:rowOff>
    </xdr:from>
    <xdr:to>
      <xdr:col>8</xdr:col>
      <xdr:colOff>0</xdr:colOff>
      <xdr:row>98</xdr:row>
      <xdr:rowOff>452436</xdr:rowOff>
    </xdr:to>
    <xdr:graphicFrame macro="">
      <xdr:nvGraphicFramePr>
        <xdr:cNvPr id="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857250</xdr:colOff>
      <xdr:row>88</xdr:row>
      <xdr:rowOff>47624</xdr:rowOff>
    </xdr:from>
    <xdr:to>
      <xdr:col>14</xdr:col>
      <xdr:colOff>571500</xdr:colOff>
      <xdr:row>97</xdr:row>
      <xdr:rowOff>23812</xdr:rowOff>
    </xdr:to>
    <xdr:graphicFrame macro="">
      <xdr:nvGraphicFramePr>
        <xdr:cNvPr id="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1293813</xdr:colOff>
      <xdr:row>107</xdr:row>
      <xdr:rowOff>253999</xdr:rowOff>
    </xdr:from>
    <xdr:to>
      <xdr:col>9</xdr:col>
      <xdr:colOff>1555751</xdr:colOff>
      <xdr:row>114</xdr:row>
      <xdr:rowOff>101600</xdr:rowOff>
    </xdr:to>
    <xdr:graphicFrame macro="">
      <xdr:nvGraphicFramePr>
        <xdr:cNvPr id="1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13229</xdr:colOff>
      <xdr:row>291</xdr:row>
      <xdr:rowOff>142875</xdr:rowOff>
    </xdr:from>
    <xdr:to>
      <xdr:col>3</xdr:col>
      <xdr:colOff>1666875</xdr:colOff>
      <xdr:row>294</xdr:row>
      <xdr:rowOff>357185</xdr:rowOff>
    </xdr:to>
    <xdr:graphicFrame macro="">
      <xdr:nvGraphicFramePr>
        <xdr:cNvPr id="1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9223</xdr:colOff>
      <xdr:row>291</xdr:row>
      <xdr:rowOff>476250</xdr:rowOff>
    </xdr:from>
    <xdr:to>
      <xdr:col>6</xdr:col>
      <xdr:colOff>95250</xdr:colOff>
      <xdr:row>294</xdr:row>
      <xdr:rowOff>452437</xdr:rowOff>
    </xdr:to>
    <xdr:graphicFrame macro="">
      <xdr:nvGraphicFramePr>
        <xdr:cNvPr id="1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254000</xdr:colOff>
      <xdr:row>289</xdr:row>
      <xdr:rowOff>222249</xdr:rowOff>
    </xdr:from>
    <xdr:to>
      <xdr:col>8</xdr:col>
      <xdr:colOff>635000</xdr:colOff>
      <xdr:row>294</xdr:row>
      <xdr:rowOff>674686</xdr:rowOff>
    </xdr:to>
    <xdr:graphicFrame macro="">
      <xdr:nvGraphicFramePr>
        <xdr:cNvPr id="1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857250</xdr:colOff>
      <xdr:row>284</xdr:row>
      <xdr:rowOff>47624</xdr:rowOff>
    </xdr:from>
    <xdr:to>
      <xdr:col>14</xdr:col>
      <xdr:colOff>571500</xdr:colOff>
      <xdr:row>293</xdr:row>
      <xdr:rowOff>23812</xdr:rowOff>
    </xdr:to>
    <xdr:graphicFrame macro="">
      <xdr:nvGraphicFramePr>
        <xdr:cNvPr id="1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</xdr:colOff>
      <xdr:row>297</xdr:row>
      <xdr:rowOff>31750</xdr:rowOff>
    </xdr:from>
    <xdr:to>
      <xdr:col>3</xdr:col>
      <xdr:colOff>1873251</xdr:colOff>
      <xdr:row>310</xdr:row>
      <xdr:rowOff>0</xdr:rowOff>
    </xdr:to>
    <xdr:graphicFrame macro="">
      <xdr:nvGraphicFramePr>
        <xdr:cNvPr id="1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13229</xdr:colOff>
      <xdr:row>317</xdr:row>
      <xdr:rowOff>142875</xdr:rowOff>
    </xdr:from>
    <xdr:to>
      <xdr:col>3</xdr:col>
      <xdr:colOff>1666875</xdr:colOff>
      <xdr:row>320</xdr:row>
      <xdr:rowOff>357185</xdr:rowOff>
    </xdr:to>
    <xdr:graphicFrame macro="">
      <xdr:nvGraphicFramePr>
        <xdr:cNvPr id="1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9223</xdr:colOff>
      <xdr:row>317</xdr:row>
      <xdr:rowOff>476250</xdr:rowOff>
    </xdr:from>
    <xdr:to>
      <xdr:col>6</xdr:col>
      <xdr:colOff>95250</xdr:colOff>
      <xdr:row>320</xdr:row>
      <xdr:rowOff>452437</xdr:rowOff>
    </xdr:to>
    <xdr:graphicFrame macro="">
      <xdr:nvGraphicFramePr>
        <xdr:cNvPr id="1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</xdr:col>
      <xdr:colOff>2476500</xdr:colOff>
      <xdr:row>315</xdr:row>
      <xdr:rowOff>-1</xdr:rowOff>
    </xdr:from>
    <xdr:to>
      <xdr:col>8</xdr:col>
      <xdr:colOff>0</xdr:colOff>
      <xdr:row>320</xdr:row>
      <xdr:rowOff>452436</xdr:rowOff>
    </xdr:to>
    <xdr:graphicFrame macro="">
      <xdr:nvGraphicFramePr>
        <xdr:cNvPr id="1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857250</xdr:colOff>
      <xdr:row>310</xdr:row>
      <xdr:rowOff>47624</xdr:rowOff>
    </xdr:from>
    <xdr:to>
      <xdr:col>14</xdr:col>
      <xdr:colOff>571500</xdr:colOff>
      <xdr:row>319</xdr:row>
      <xdr:rowOff>23812</xdr:rowOff>
    </xdr:to>
    <xdr:graphicFrame macro="">
      <xdr:nvGraphicFramePr>
        <xdr:cNvPr id="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1293813</xdr:colOff>
      <xdr:row>329</xdr:row>
      <xdr:rowOff>253999</xdr:rowOff>
    </xdr:from>
    <xdr:to>
      <xdr:col>9</xdr:col>
      <xdr:colOff>1555751</xdr:colOff>
      <xdr:row>336</xdr:row>
      <xdr:rowOff>101600</xdr:rowOff>
    </xdr:to>
    <xdr:graphicFrame macro="">
      <xdr:nvGraphicFramePr>
        <xdr:cNvPr id="2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41</xdr:col>
      <xdr:colOff>13229</xdr:colOff>
      <xdr:row>69</xdr:row>
      <xdr:rowOff>142875</xdr:rowOff>
    </xdr:from>
    <xdr:to>
      <xdr:col>41</xdr:col>
      <xdr:colOff>1666875</xdr:colOff>
      <xdr:row>72</xdr:row>
      <xdr:rowOff>357185</xdr:rowOff>
    </xdr:to>
    <xdr:graphicFrame macro="">
      <xdr:nvGraphicFramePr>
        <xdr:cNvPr id="2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43</xdr:col>
      <xdr:colOff>9223</xdr:colOff>
      <xdr:row>69</xdr:row>
      <xdr:rowOff>476250</xdr:rowOff>
    </xdr:from>
    <xdr:to>
      <xdr:col>44</xdr:col>
      <xdr:colOff>95250</xdr:colOff>
      <xdr:row>72</xdr:row>
      <xdr:rowOff>452437</xdr:rowOff>
    </xdr:to>
    <xdr:graphicFrame macro="">
      <xdr:nvGraphicFramePr>
        <xdr:cNvPr id="23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45</xdr:col>
      <xdr:colOff>254000</xdr:colOff>
      <xdr:row>67</xdr:row>
      <xdr:rowOff>222249</xdr:rowOff>
    </xdr:from>
    <xdr:to>
      <xdr:col>46</xdr:col>
      <xdr:colOff>635000</xdr:colOff>
      <xdr:row>72</xdr:row>
      <xdr:rowOff>674686</xdr:rowOff>
    </xdr:to>
    <xdr:graphicFrame macro="">
      <xdr:nvGraphicFramePr>
        <xdr:cNvPr id="24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46</xdr:col>
      <xdr:colOff>857250</xdr:colOff>
      <xdr:row>62</xdr:row>
      <xdr:rowOff>47624</xdr:rowOff>
    </xdr:from>
    <xdr:to>
      <xdr:col>52</xdr:col>
      <xdr:colOff>571500</xdr:colOff>
      <xdr:row>71</xdr:row>
      <xdr:rowOff>23812</xdr:rowOff>
    </xdr:to>
    <xdr:graphicFrame macro="">
      <xdr:nvGraphicFramePr>
        <xdr:cNvPr id="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38</xdr:col>
      <xdr:colOff>1</xdr:colOff>
      <xdr:row>75</xdr:row>
      <xdr:rowOff>31750</xdr:rowOff>
    </xdr:from>
    <xdr:to>
      <xdr:col>41</xdr:col>
      <xdr:colOff>1873251</xdr:colOff>
      <xdr:row>88</xdr:row>
      <xdr:rowOff>0</xdr:rowOff>
    </xdr:to>
    <xdr:graphicFrame macro="">
      <xdr:nvGraphicFramePr>
        <xdr:cNvPr id="2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41</xdr:col>
      <xdr:colOff>13229</xdr:colOff>
      <xdr:row>95</xdr:row>
      <xdr:rowOff>142875</xdr:rowOff>
    </xdr:from>
    <xdr:to>
      <xdr:col>41</xdr:col>
      <xdr:colOff>1666875</xdr:colOff>
      <xdr:row>98</xdr:row>
      <xdr:rowOff>357185</xdr:rowOff>
    </xdr:to>
    <xdr:graphicFrame macro="">
      <xdr:nvGraphicFramePr>
        <xdr:cNvPr id="2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43</xdr:col>
      <xdr:colOff>9223</xdr:colOff>
      <xdr:row>95</xdr:row>
      <xdr:rowOff>476250</xdr:rowOff>
    </xdr:from>
    <xdr:to>
      <xdr:col>44</xdr:col>
      <xdr:colOff>95250</xdr:colOff>
      <xdr:row>98</xdr:row>
      <xdr:rowOff>452437</xdr:rowOff>
    </xdr:to>
    <xdr:graphicFrame macro="">
      <xdr:nvGraphicFramePr>
        <xdr:cNvPr id="2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44</xdr:col>
      <xdr:colOff>2476500</xdr:colOff>
      <xdr:row>93</xdr:row>
      <xdr:rowOff>-1</xdr:rowOff>
    </xdr:from>
    <xdr:to>
      <xdr:col>46</xdr:col>
      <xdr:colOff>0</xdr:colOff>
      <xdr:row>98</xdr:row>
      <xdr:rowOff>452436</xdr:rowOff>
    </xdr:to>
    <xdr:graphicFrame macro="">
      <xdr:nvGraphicFramePr>
        <xdr:cNvPr id="2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46</xdr:col>
      <xdr:colOff>857250</xdr:colOff>
      <xdr:row>88</xdr:row>
      <xdr:rowOff>47624</xdr:rowOff>
    </xdr:from>
    <xdr:to>
      <xdr:col>52</xdr:col>
      <xdr:colOff>571500</xdr:colOff>
      <xdr:row>97</xdr:row>
      <xdr:rowOff>23812</xdr:rowOff>
    </xdr:to>
    <xdr:graphicFrame macro="">
      <xdr:nvGraphicFramePr>
        <xdr:cNvPr id="3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43</xdr:col>
      <xdr:colOff>1293813</xdr:colOff>
      <xdr:row>107</xdr:row>
      <xdr:rowOff>253999</xdr:rowOff>
    </xdr:from>
    <xdr:to>
      <xdr:col>47</xdr:col>
      <xdr:colOff>1555751</xdr:colOff>
      <xdr:row>114</xdr:row>
      <xdr:rowOff>101600</xdr:rowOff>
    </xdr:to>
    <xdr:graphicFrame macro="">
      <xdr:nvGraphicFramePr>
        <xdr:cNvPr id="31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23</xdr:col>
      <xdr:colOff>57150</xdr:colOff>
      <xdr:row>20</xdr:row>
      <xdr:rowOff>19050</xdr:rowOff>
    </xdr:from>
    <xdr:to>
      <xdr:col>29</xdr:col>
      <xdr:colOff>0</xdr:colOff>
      <xdr:row>30</xdr:row>
      <xdr:rowOff>171450</xdr:rowOff>
    </xdr:to>
    <xdr:graphicFrame macro="">
      <xdr:nvGraphicFramePr>
        <xdr:cNvPr id="32" name="مخطط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23</xdr:col>
      <xdr:colOff>19050</xdr:colOff>
      <xdr:row>11</xdr:row>
      <xdr:rowOff>0</xdr:rowOff>
    </xdr:from>
    <xdr:to>
      <xdr:col>28</xdr:col>
      <xdr:colOff>600075</xdr:colOff>
      <xdr:row>20</xdr:row>
      <xdr:rowOff>161924</xdr:rowOff>
    </xdr:to>
    <xdr:graphicFrame macro="">
      <xdr:nvGraphicFramePr>
        <xdr:cNvPr id="33" name="مخطط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8</xdr:col>
      <xdr:colOff>123824</xdr:colOff>
      <xdr:row>20</xdr:row>
      <xdr:rowOff>142875</xdr:rowOff>
    </xdr:from>
    <xdr:to>
      <xdr:col>14</xdr:col>
      <xdr:colOff>600075</xdr:colOff>
      <xdr:row>30</xdr:row>
      <xdr:rowOff>185736</xdr:rowOff>
    </xdr:to>
    <xdr:graphicFrame macro="">
      <xdr:nvGraphicFramePr>
        <xdr:cNvPr id="34" name="مخطط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8</xdr:col>
      <xdr:colOff>9525</xdr:colOff>
      <xdr:row>11</xdr:row>
      <xdr:rowOff>33337</xdr:rowOff>
    </xdr:from>
    <xdr:to>
      <xdr:col>14</xdr:col>
      <xdr:colOff>609599</xdr:colOff>
      <xdr:row>20</xdr:row>
      <xdr:rowOff>180975</xdr:rowOff>
    </xdr:to>
    <xdr:graphicFrame macro="">
      <xdr:nvGraphicFramePr>
        <xdr:cNvPr id="35" name="مخطط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</xdr:wsDr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sone/numoax2/eurusddailly2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sone/book10weekly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sone/complete3dail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JPY" advise="1">
        <values>
          <value>
            <val>137.13800000000001</val>
          </value>
        </values>
      </ddeItem>
      <ddeItem name="EURUSD" advise="1">
        <values>
          <value>
            <val>1.3204499999999999</val>
          </value>
        </values>
      </ddeItem>
      <ddeItem name="GBPJPY" advise="1">
        <values>
          <value>
            <val>172.304</val>
          </value>
        </values>
      </ddeItem>
      <ddeItem name="GBPUSD" advise="1">
        <values>
          <value>
            <val>1.6593199999999999</val>
          </value>
        </values>
      </ddeItem>
      <ddeItem name="StdDocumentName" ole="1" advise="1"/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JPY" advise="1">
        <values>
          <value>
            <val>137.148</val>
          </value>
        </values>
      </ddeItem>
      <ddeItem name="EURUSD" advise="1">
        <values>
          <value>
            <val>1.3205</val>
          </value>
        </values>
      </ddeItem>
      <ddeItem name="GBPJPY" advise="1">
        <values>
          <value>
            <val>172.37899999999999</val>
          </value>
        </values>
      </ddeItem>
      <ddeItem name="GBPUSD" advise="1">
        <values>
          <value>
            <val>1.65937</val>
          </value>
        </values>
      </ddeItem>
      <ddeItem name="StdDocumentName" ole="1" advise="1"/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EURJPY" advise="1">
        <values>
          <value>
            <val>137.32400000000001</val>
          </value>
        </values>
      </ddeItem>
      <ddeItem name="EURUSD" advise="1">
        <values>
          <value>
            <val>1.32067</val>
          </value>
        </values>
      </ddeItem>
      <ddeItem name="GBPJPY" advise="1">
        <values>
          <value>
            <val>172.53800000000001</val>
          </value>
        </values>
      </ddeItem>
      <ddeItem name="GBPUSD" advise="1">
        <values>
          <value>
            <val>1.6594899999999999</val>
          </value>
        </values>
      </ddeItem>
      <ddeItem name="StdDocumentName" ole="1" advise="1"/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EURJPY" advise="1">
        <values>
          <value>
            <val>137.04599999999999</val>
          </value>
        </values>
      </ddeItem>
      <ddeItem name="EURUSD" advise="1">
        <values>
          <value>
            <val>1.31782</val>
          </value>
        </values>
      </ddeItem>
      <ddeItem name="GBPJPY" advise="1">
        <values>
          <value>
            <val>172.15199999999999</val>
          </value>
        </values>
      </ddeItem>
      <ddeItem name="GBPUSD" advise="1">
        <values>
          <value>
            <val>1.6563300000000001</val>
          </value>
        </values>
      </ddeItem>
      <ddeItem name="StdDocumentName" ole="1" advise="1"/>
    </ddeItems>
  </ddeLin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TIME">
    <ddeItems>
      <ddeItem name="EURJPY" advise="1">
        <values>
          <value>
            <val>41877.284722222219</val>
          </value>
        </values>
      </ddeItem>
      <ddeItem name="EURUSD" advise="1">
        <values>
          <value>
            <val>41877.284722222219</val>
          </value>
        </values>
      </ddeItem>
      <ddeItem name="GBPJPY" advise="1">
        <values>
          <value>
            <val>41877.284722222219</val>
          </value>
        </values>
      </ddeItem>
      <ddeItem name="GBPUSD" advise="1">
        <values>
          <value>
            <val>41877.284722222219</val>
          </value>
        </values>
      </ddeItem>
      <ddeItem name="StdDocumentName" ole="1" advise="1"/>
    </ddeItems>
  </ddeLin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QUOTE">
    <ddeItems>
      <ddeItem name="EURJPY" advise="1">
        <values>
          <value t="str">
            <val>2014/08/26 06:50 137.138 137.148</val>
          </value>
        </values>
      </ddeItem>
      <ddeItem name="EURUSD" advise="1">
        <values>
          <value t="str">
            <val>2014/08/26 06:50 1.32045 1.32050</val>
          </value>
        </values>
      </ddeItem>
      <ddeItem name="GBPJPY" advise="1">
        <values>
          <value t="str">
            <val>2014/08/26 06:50 172.304 172.379</val>
          </value>
        </values>
      </ddeItem>
      <ddeItem name="GBPUSD" advise="1">
        <values>
          <value t="str">
            <val>2014/08/26 06:50 1.65932 1.65937</val>
          </value>
        </values>
      </ddeItem>
      <ddeItem name="StdDocumentName" ole="1" advise="1"/>
    </ddeItems>
  </ddeLin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Chart2"/>
      <sheetName val="Sheet1"/>
      <sheetName val="Sheet2"/>
      <sheetName val="Sheet3"/>
    </sheetNames>
    <sheetDataSet>
      <sheetData sheetId="0" refreshError="1"/>
      <sheetData sheetId="1" refreshError="1"/>
      <sheetData sheetId="2">
        <row r="8">
          <cell r="D8">
            <v>133997.48374197999</v>
          </cell>
          <cell r="F8">
            <v>133987.87188851601</v>
          </cell>
          <cell r="H8">
            <v>133683.30883969442</v>
          </cell>
        </row>
        <row r="9">
          <cell r="D9">
            <v>133997.048374198</v>
          </cell>
          <cell r="F9">
            <v>133987.81068659545</v>
          </cell>
          <cell r="H9">
            <v>133682.92294491222</v>
          </cell>
        </row>
        <row r="10">
          <cell r="D10">
            <v>133557.426367782</v>
          </cell>
          <cell r="F10">
            <v>133676.9390211766</v>
          </cell>
          <cell r="H10">
            <v>133653.56158977366</v>
          </cell>
        </row>
        <row r="11">
          <cell r="D11">
            <v>133556.99100000001</v>
          </cell>
          <cell r="F11">
            <v>133676.87781925604</v>
          </cell>
          <cell r="H11">
            <v>133653.17569499146</v>
          </cell>
        </row>
        <row r="13">
          <cell r="M13">
            <v>133557</v>
          </cell>
          <cell r="N13">
            <v>133997</v>
          </cell>
          <cell r="O13">
            <v>135292.14797482218</v>
          </cell>
          <cell r="P13">
            <v>134134.90298472659</v>
          </cell>
        </row>
        <row r="19">
          <cell r="A19">
            <v>133653.18104054002</v>
          </cell>
          <cell r="B19">
            <v>133683.25526041666</v>
          </cell>
          <cell r="C19">
            <v>133676.88093412007</v>
          </cell>
          <cell r="D19">
            <v>133987.70915652683</v>
          </cell>
          <cell r="E19">
            <v>133557</v>
          </cell>
          <cell r="F19">
            <v>133997</v>
          </cell>
          <cell r="G19">
            <v>133997</v>
          </cell>
          <cell r="H19">
            <v>133676.88093412007</v>
          </cell>
        </row>
        <row r="20">
          <cell r="A20">
            <v>133653.18104054002</v>
          </cell>
          <cell r="B20">
            <v>133683.25526041666</v>
          </cell>
          <cell r="C20">
            <v>133676.88093412007</v>
          </cell>
          <cell r="D20">
            <v>133987.70915652683</v>
          </cell>
          <cell r="E20">
            <v>133557</v>
          </cell>
          <cell r="F20">
            <v>133997</v>
          </cell>
          <cell r="G20">
            <v>133726.68139504537</v>
          </cell>
          <cell r="H20">
            <v>133987.17244602984</v>
          </cell>
        </row>
        <row r="21">
          <cell r="A21">
            <v>133997</v>
          </cell>
          <cell r="B21">
            <v>134849.77291051656</v>
          </cell>
          <cell r="C21">
            <v>134789.17224968076</v>
          </cell>
          <cell r="D21">
            <v>134880.08686383915</v>
          </cell>
          <cell r="E21">
            <v>134743.74558265845</v>
          </cell>
          <cell r="F21">
            <v>134811.91622324882</v>
          </cell>
          <cell r="G21">
            <v>134709.67749836275</v>
          </cell>
          <cell r="H21">
            <v>134760.78393271641</v>
          </cell>
        </row>
        <row r="22">
          <cell r="A22">
            <v>133997</v>
          </cell>
          <cell r="B22">
            <v>134057.24450343067</v>
          </cell>
          <cell r="C22">
            <v>133966.89128503983</v>
          </cell>
          <cell r="D22">
            <v>134117.51609254381</v>
          </cell>
          <cell r="E22">
            <v>133906.70091342286</v>
          </cell>
          <cell r="F22">
            <v>134072.32594202866</v>
          </cell>
          <cell r="G22">
            <v>133869.08446901725</v>
          </cell>
          <cell r="H22">
            <v>134061.01887886616</v>
          </cell>
        </row>
        <row r="23">
          <cell r="A23">
            <v>133997</v>
          </cell>
          <cell r="B23">
            <v>133676.88093412007</v>
          </cell>
          <cell r="C23">
            <v>134323.90864034253</v>
          </cell>
          <cell r="D23">
            <v>134124.91405042191</v>
          </cell>
          <cell r="E23">
            <v>135311.75803853659</v>
          </cell>
          <cell r="F23">
            <v>134485.13847803744</v>
          </cell>
          <cell r="G23">
            <v>134955.37232166811</v>
          </cell>
          <cell r="H23">
            <v>134896.54913659208</v>
          </cell>
        </row>
        <row r="24">
          <cell r="A24">
            <v>133557</v>
          </cell>
          <cell r="B24">
            <v>133997</v>
          </cell>
          <cell r="C24">
            <v>135311.75803853659</v>
          </cell>
          <cell r="D24">
            <v>135252.92784739329</v>
          </cell>
          <cell r="E24">
            <v>134522.90323026312</v>
          </cell>
          <cell r="F24">
            <v>133557</v>
          </cell>
          <cell r="G24">
            <v>133997</v>
          </cell>
          <cell r="H24">
            <v>135311.75803853659</v>
          </cell>
        </row>
      </sheetData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ورقة2"/>
      <sheetName val="ورقة3"/>
    </sheetNames>
    <sheetDataSet>
      <sheetData sheetId="0">
        <row r="6">
          <cell r="H6">
            <v>166782.93929020865</v>
          </cell>
          <cell r="S6">
            <v>171676.60070069568</v>
          </cell>
          <cell r="W6">
            <v>137059.45788183319</v>
          </cell>
        </row>
        <row r="7">
          <cell r="H7">
            <v>166368.8533078066</v>
          </cell>
          <cell r="S7">
            <v>172842.71356118334</v>
          </cell>
          <cell r="W7">
            <v>136781.49532481784</v>
          </cell>
        </row>
        <row r="8">
          <cell r="H8">
            <v>166988.71650005842</v>
          </cell>
          <cell r="S8">
            <v>172318.09199723875</v>
          </cell>
          <cell r="W8">
            <v>137503.46183539685</v>
          </cell>
        </row>
        <row r="9">
          <cell r="H9">
            <v>165975.17829468945</v>
          </cell>
          <cell r="S9">
            <v>171412.01799394825</v>
          </cell>
          <cell r="W9">
            <v>136617.40154061595</v>
          </cell>
        </row>
        <row r="10">
          <cell r="S10">
            <v>171085.47540192737</v>
          </cell>
          <cell r="W10">
            <v>-1</v>
          </cell>
        </row>
        <row r="11">
          <cell r="S11">
            <v>170203.15107434001</v>
          </cell>
          <cell r="W11">
            <v>137060.43168800639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ورقة1"/>
      <sheetName val="ورقة2"/>
      <sheetName val="ورقة3"/>
    </sheetNames>
    <sheetDataSet>
      <sheetData sheetId="0">
        <row r="9">
          <cell r="A9">
            <v>133183</v>
          </cell>
          <cell r="B9">
            <v>133669</v>
          </cell>
          <cell r="C9">
            <v>132591</v>
          </cell>
          <cell r="D9">
            <v>133291</v>
          </cell>
          <cell r="E9">
            <v>132457</v>
          </cell>
          <cell r="F9">
            <v>132882</v>
          </cell>
          <cell r="G9">
            <v>132212</v>
          </cell>
          <cell r="H9">
            <v>132968</v>
          </cell>
          <cell r="I9">
            <v>132454.49206511973</v>
          </cell>
          <cell r="J9">
            <v>132284.63645971022</v>
          </cell>
          <cell r="K9">
            <v>132308.0340923233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U475"/>
  <sheetViews>
    <sheetView tabSelected="1" topLeftCell="CA1" workbookViewId="0">
      <selection activeCell="CE8" sqref="CE8"/>
    </sheetView>
  </sheetViews>
  <sheetFormatPr defaultRowHeight="15" x14ac:dyDescent="0.25"/>
  <cols>
    <col min="1" max="1" width="10.42578125" bestFit="1" customWidth="1"/>
    <col min="2" max="2" width="9.7109375" bestFit="1" customWidth="1"/>
    <col min="3" max="3" width="9.28515625" bestFit="1" customWidth="1"/>
    <col min="7" max="7" width="10.42578125" customWidth="1"/>
    <col min="20" max="20" width="9.42578125" bestFit="1" customWidth="1"/>
    <col min="40" max="40" width="9.7109375" bestFit="1" customWidth="1"/>
  </cols>
  <sheetData>
    <row r="1" spans="1:99" ht="15.75" thickBot="1" x14ac:dyDescent="0.3">
      <c r="A1" s="1">
        <f>A3*D3</f>
        <v>1.3398800000000002</v>
      </c>
      <c r="B1" s="2">
        <f>B3*D3</f>
        <v>1.3335700000000001</v>
      </c>
      <c r="C1" s="2">
        <f>C3*D3</f>
        <v>1.3432300000000001</v>
      </c>
      <c r="D1" s="3">
        <f>((A1+B1)/2)+((B1+C1)/2)</f>
        <v>2.6751250000000004</v>
      </c>
      <c r="E1" s="3">
        <f>(A1-B1)^2</f>
        <v>3.9816100000000474E-5</v>
      </c>
      <c r="F1" s="3">
        <f>(C1-B1)^2</f>
        <v>9.3315600000000039E-5</v>
      </c>
      <c r="G1" s="4">
        <f>J2</f>
        <v>2.6749918683000002</v>
      </c>
      <c r="H1" s="5">
        <f>(G1/2)</f>
        <v>1.3374959341500001</v>
      </c>
      <c r="I1" s="3">
        <f>(A1/B1)</f>
        <v>1.0047316601303269</v>
      </c>
      <c r="J1" s="3">
        <f>(C1/B1)</f>
        <v>1.0072437142407222</v>
      </c>
      <c r="K1" s="3">
        <f>I1^0.5</f>
        <v>1.0023630380906545</v>
      </c>
      <c r="L1" s="3">
        <f>J1^0.5</f>
        <v>1.003615321844342</v>
      </c>
      <c r="M1" s="3">
        <f>INT(K1)-E2</f>
        <v>0</v>
      </c>
      <c r="N1" s="3">
        <f>INT(L1)-E2</f>
        <v>0</v>
      </c>
      <c r="O1" s="3">
        <f>(M1+45/360)^2</f>
        <v>1.5625E-2</v>
      </c>
      <c r="P1" s="3">
        <f>(N1+45/360)^2</f>
        <v>1.5625E-2</v>
      </c>
      <c r="Q1" s="3">
        <f>(O1+P1)/3</f>
        <v>1.0416666666666666E-2</v>
      </c>
      <c r="R1" s="3">
        <f>(Q1*4)</f>
        <v>4.1666666666666664E-2</v>
      </c>
      <c r="S1" s="3">
        <f>R1/3</f>
        <v>1.3888888888888888E-2</v>
      </c>
      <c r="T1" s="6">
        <f>(G2+H1)/2</f>
        <v>1.3320407497449946</v>
      </c>
      <c r="U1" s="1">
        <f>U3*X3</f>
        <v>1.7269300000000001</v>
      </c>
      <c r="V1" s="2">
        <f>V3*X3</f>
        <v>1.7162200000000001</v>
      </c>
      <c r="W1" s="2">
        <f>W3*X3</f>
        <v>1.72401</v>
      </c>
      <c r="X1" s="3">
        <f>((U1+V1)/2)+((V1+W1)/2)</f>
        <v>3.4416900000000004</v>
      </c>
      <c r="Y1" s="3">
        <f>(U1-V1)^2</f>
        <v>1.1470409999999994E-4</v>
      </c>
      <c r="Z1" s="3">
        <f>(W1-V1)^2</f>
        <v>6.0684099999999435E-5</v>
      </c>
      <c r="AA1" s="4">
        <f>AD2</f>
        <v>3.4415146118000002</v>
      </c>
      <c r="AB1" s="5">
        <f>(AA1/2)</f>
        <v>1.7207573059000001</v>
      </c>
      <c r="AC1" s="3">
        <f>(U1/V1)</f>
        <v>1.0062404586824534</v>
      </c>
      <c r="AD1" s="3">
        <f>(W1/V1)</f>
        <v>1.0045390451107667</v>
      </c>
      <c r="AE1" s="3">
        <f>AC1^0.5</f>
        <v>1.0031153765556848</v>
      </c>
      <c r="AF1" s="3">
        <f>AD1^0.5</f>
        <v>1.0022669530173918</v>
      </c>
      <c r="AG1" s="3">
        <f>INT(AE1)-Y2</f>
        <v>0</v>
      </c>
      <c r="AH1" s="3">
        <f>INT(AF1)-Y2</f>
        <v>0</v>
      </c>
      <c r="AI1" s="3">
        <f>(AG1+45/360)^2</f>
        <v>1.5625E-2</v>
      </c>
      <c r="AJ1" s="3">
        <f>(AH1+45/360)^2</f>
        <v>1.5625E-2</v>
      </c>
      <c r="AK1" s="3">
        <f>(AI1+AJ1)/3</f>
        <v>1.0416666666666666E-2</v>
      </c>
      <c r="AL1" s="3">
        <f>(AK1*4)</f>
        <v>4.1666666666666664E-2</v>
      </c>
      <c r="AM1" s="3">
        <f>AL1/3</f>
        <v>1.3888888888888888E-2</v>
      </c>
      <c r="AN1" s="6">
        <f>(AA2+AB1)/2</f>
        <v>1.7139977550397156</v>
      </c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96"/>
      <c r="BS1" s="796"/>
      <c r="BT1" s="796"/>
      <c r="BU1" s="796"/>
      <c r="BV1" s="796"/>
      <c r="BW1" s="796"/>
      <c r="BX1" s="796"/>
      <c r="BY1" s="796"/>
      <c r="BZ1" s="796"/>
      <c r="CA1" s="796"/>
      <c r="CB1" s="767">
        <f>CB3*CE3</f>
        <v>133.988</v>
      </c>
      <c r="CC1" s="768">
        <f>CC3*CE3</f>
        <v>133.357</v>
      </c>
      <c r="CD1" s="768">
        <f>CD3*CE3</f>
        <v>134.32300000000001</v>
      </c>
      <c r="CE1" s="769">
        <f>((CB1+CC1)/2)+((CC1+CD1)/2)</f>
        <v>267.51250000000005</v>
      </c>
      <c r="CF1" s="769">
        <f>(CB1-CC1)^2</f>
        <v>0.39816100000000026</v>
      </c>
      <c r="CG1" s="769">
        <f>(CD1-CC1)^2</f>
        <v>0.93315600000001586</v>
      </c>
      <c r="CH1" s="770">
        <f>CK2</f>
        <v>266.18118300000003</v>
      </c>
      <c r="CI1" s="771">
        <f>(CH1/2)</f>
        <v>133.09059150000002</v>
      </c>
      <c r="CJ1" s="769">
        <f>(CB1/CC1)</f>
        <v>1.0047316601303269</v>
      </c>
      <c r="CK1" s="769">
        <f>(CD1/CC1)</f>
        <v>1.0072437142407222</v>
      </c>
      <c r="CL1" s="769">
        <f>CJ1^0.5</f>
        <v>1.0023630380906545</v>
      </c>
      <c r="CM1" s="769">
        <f>CK1^0.5</f>
        <v>1.003615321844342</v>
      </c>
      <c r="CN1" s="769">
        <f>INT(CL1)-CF2</f>
        <v>0</v>
      </c>
      <c r="CO1" s="769">
        <f>INT(CM1)-CF2</f>
        <v>0</v>
      </c>
      <c r="CP1" s="769">
        <f>(CN1+45/360)^2</f>
        <v>1.5625E-2</v>
      </c>
      <c r="CQ1" s="769">
        <f>(CO1+45/360)^2</f>
        <v>1.5625E-2</v>
      </c>
      <c r="CR1" s="769">
        <f>(CP1+CQ1)/3</f>
        <v>1.0416666666666666E-2</v>
      </c>
      <c r="CS1" s="769">
        <f>(CR1*4)</f>
        <v>4.1666666666666664E-2</v>
      </c>
      <c r="CT1" s="769">
        <f>CS1/3</f>
        <v>1.3888888888888888E-2</v>
      </c>
      <c r="CU1" s="772">
        <f>(CH2+CI1)/2</f>
        <v>133.10686298274098</v>
      </c>
    </row>
    <row r="2" spans="1:99" x14ac:dyDescent="0.25">
      <c r="A2" s="8">
        <f>(H1+C1)/2</f>
        <v>1.3403629670750001</v>
      </c>
      <c r="B2" s="3">
        <f>Q1/3</f>
        <v>3.472222222222222E-3</v>
      </c>
      <c r="C2" s="3">
        <f>B2/2</f>
        <v>1.736111111111111E-3</v>
      </c>
      <c r="D2" s="9">
        <f>C2/2</f>
        <v>8.6805555555555551E-4</v>
      </c>
      <c r="E2" s="10">
        <v>1</v>
      </c>
      <c r="F2" s="3">
        <f>(F1+E1)^0.5</f>
        <v>1.153827110099258E-2</v>
      </c>
      <c r="G2" s="11">
        <f>(H1)*((F2-C2-D2)^(B2-C2))</f>
        <v>1.3265855653399894</v>
      </c>
      <c r="H2" s="12">
        <f>(C1+A1+G2+T1)/4</f>
        <v>1.3354340787712462</v>
      </c>
      <c r="I2" s="13">
        <f>E1-F1-D1</f>
        <v>-2.6751784995000003</v>
      </c>
      <c r="J2" s="13">
        <f>D1-E1-F1</f>
        <v>2.6749918683000002</v>
      </c>
      <c r="K2" s="13">
        <f>F1+E1-D1</f>
        <v>-2.6749918683000002</v>
      </c>
      <c r="L2" s="13">
        <f>F1+D1-E1</f>
        <v>2.6751784995000003</v>
      </c>
      <c r="M2" s="14"/>
      <c r="N2" s="3"/>
      <c r="O2" s="3"/>
      <c r="P2" s="3"/>
      <c r="Q2" s="3"/>
      <c r="R2" s="3"/>
      <c r="S2" s="3"/>
      <c r="T2" s="15">
        <f>(H1+T1)/2</f>
        <v>1.3347683419474974</v>
      </c>
      <c r="U2" s="8">
        <f>(AB1+W1)/2</f>
        <v>1.7223836529500001</v>
      </c>
      <c r="V2" s="3">
        <f>AK1/3</f>
        <v>3.472222222222222E-3</v>
      </c>
      <c r="W2" s="3">
        <f>V2/2</f>
        <v>1.736111111111111E-3</v>
      </c>
      <c r="X2" s="9">
        <f>W2/2</f>
        <v>8.6805555555555551E-4</v>
      </c>
      <c r="Y2" s="10">
        <v>1</v>
      </c>
      <c r="Z2" s="3">
        <f>(Z1+Y1)^0.5</f>
        <v>1.3243421008183624E-2</v>
      </c>
      <c r="AA2" s="11">
        <f>(AB1)*((Z2-W2-X2)^(V2-W2))</f>
        <v>1.7072382041794312</v>
      </c>
      <c r="AB2" s="12">
        <f>(W1+U1+AA2+AN1)/4</f>
        <v>1.7180439898047868</v>
      </c>
      <c r="AC2" s="13">
        <f>Y1-Z1-X1</f>
        <v>-3.4416359800000005</v>
      </c>
      <c r="AD2" s="13">
        <f>X1-Y1-Z1</f>
        <v>3.4415146118000002</v>
      </c>
      <c r="AE2" s="13">
        <f>Z1+Y1-X1</f>
        <v>-3.4415146118000002</v>
      </c>
      <c r="AF2" s="13">
        <f>Z1+X1-Y1</f>
        <v>3.4416359800000005</v>
      </c>
      <c r="AG2" s="14"/>
      <c r="AH2" s="3"/>
      <c r="AI2" s="3"/>
      <c r="AJ2" s="3"/>
      <c r="AK2" s="3"/>
      <c r="AL2" s="3"/>
      <c r="AM2" s="3"/>
      <c r="AN2" s="15">
        <f>(AB1+AN1)/2</f>
        <v>1.7173775304698577</v>
      </c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97"/>
      <c r="BZ2" s="797"/>
      <c r="CA2" s="797"/>
      <c r="CB2" s="773">
        <f>(CI1+CD1)/2</f>
        <v>133.70679575000003</v>
      </c>
      <c r="CC2" s="769">
        <f>CR1/3</f>
        <v>3.472222222222222E-3</v>
      </c>
      <c r="CD2" s="769">
        <f>CC2/2</f>
        <v>1.736111111111111E-3</v>
      </c>
      <c r="CE2" s="774">
        <f>CD2/2</f>
        <v>8.6805555555555551E-4</v>
      </c>
      <c r="CF2" s="775">
        <v>1</v>
      </c>
      <c r="CG2" s="769">
        <f>(CG1+CF1)^0.5</f>
        <v>1.1538271100992628</v>
      </c>
      <c r="CH2" s="776">
        <f>(CI1)*((CG2-CD2-CE2)^(CC2-CD2))</f>
        <v>133.12313446548194</v>
      </c>
      <c r="CI2" s="777">
        <f>(CD1+CB1+CH2+CU1)/4</f>
        <v>133.63524936205573</v>
      </c>
      <c r="CJ2" s="778">
        <f>(CF1-CG1-CE1)/CI4</f>
        <v>-268.04749500000008</v>
      </c>
      <c r="CK2" s="778">
        <f>(CE1-CF1-CG1)/CI4</f>
        <v>266.18118300000003</v>
      </c>
      <c r="CL2" s="778">
        <f>(CG1+CF1-CE1)/CI4</f>
        <v>-266.18118300000003</v>
      </c>
      <c r="CM2" s="778">
        <f>(CG1+CE1-CF1)/CI4</f>
        <v>268.04749500000003</v>
      </c>
      <c r="CN2" s="779"/>
      <c r="CO2" s="769"/>
      <c r="CP2" s="769"/>
      <c r="CQ2" s="769"/>
      <c r="CR2" s="769"/>
      <c r="CS2" s="769"/>
      <c r="CT2" s="769"/>
      <c r="CU2" s="780">
        <f>(CI1+CU1)/2</f>
        <v>133.09872724137051</v>
      </c>
    </row>
    <row r="3" spans="1:99" x14ac:dyDescent="0.25">
      <c r="A3" s="16">
        <f>A20</f>
        <v>133988</v>
      </c>
      <c r="B3" s="17">
        <f>B22</f>
        <v>133357</v>
      </c>
      <c r="C3" s="18">
        <f>A24</f>
        <v>134323</v>
      </c>
      <c r="D3" s="19">
        <v>1.0000000000000001E-5</v>
      </c>
      <c r="E3" s="20">
        <f>ABS(H2-G2)</f>
        <v>8.8485134312568103E-3</v>
      </c>
      <c r="F3" s="3">
        <f>ABS(G2-H1)</f>
        <v>1.0910368810010729E-2</v>
      </c>
      <c r="G3" s="3">
        <f>ABS(A2-G2)</f>
        <v>1.3777401735010741E-2</v>
      </c>
      <c r="H3" s="21">
        <f>ABS(G3-E3)</f>
        <v>4.9288883037539311E-3</v>
      </c>
      <c r="I3" s="22" t="str">
        <f>IF(H3&gt;F3,"short","long")</f>
        <v>long</v>
      </c>
      <c r="J3" s="23">
        <f>(H2+H3)</f>
        <v>1.3403629670750001</v>
      </c>
      <c r="K3" s="24">
        <f>(H1+H2+G2+H3*3)/3</f>
        <v>1.338100747724166</v>
      </c>
      <c r="L3" s="25"/>
      <c r="M3" s="25"/>
      <c r="N3" s="25"/>
      <c r="O3" s="25"/>
      <c r="P3" s="25"/>
      <c r="Q3" s="25"/>
      <c r="R3" s="25"/>
      <c r="S3" s="25"/>
      <c r="T3" s="25"/>
      <c r="U3" s="16">
        <f>P20</f>
        <v>172693</v>
      </c>
      <c r="V3" s="17">
        <f>Q22</f>
        <v>171622</v>
      </c>
      <c r="W3" s="18">
        <f>P24</f>
        <v>172401</v>
      </c>
      <c r="X3" s="19">
        <v>1.0000000000000001E-5</v>
      </c>
      <c r="Y3" s="20">
        <f>ABS(AB2-AA2)</f>
        <v>1.0805785625355613E-2</v>
      </c>
      <c r="Z3" s="3">
        <f>ABS(AA2-AB1)</f>
        <v>1.3519101720568916E-2</v>
      </c>
      <c r="AA3" s="3">
        <f>ABS(U2-AA2)</f>
        <v>1.5145448770568892E-2</v>
      </c>
      <c r="AB3" s="21">
        <f>ABS(AA3-Y3)</f>
        <v>4.3396631452132794E-3</v>
      </c>
      <c r="AC3" s="22" t="str">
        <f>IF(AB3&gt;Z3,"short","long")</f>
        <v>long</v>
      </c>
      <c r="AD3" s="23">
        <f>(AB2+AB3)</f>
        <v>1.7223836529500001</v>
      </c>
      <c r="AE3" s="24">
        <f>(AB1+AB2+AA2+AB3*3)/3</f>
        <v>1.7196861631066191</v>
      </c>
      <c r="AF3" s="25"/>
      <c r="AG3" s="25"/>
      <c r="AH3" s="25"/>
      <c r="AI3" s="25"/>
      <c r="AJ3" s="25"/>
      <c r="AK3" s="25"/>
      <c r="AL3" s="25"/>
      <c r="AM3" s="25"/>
      <c r="AN3" s="25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97"/>
      <c r="BZ3" s="797"/>
      <c r="CA3" s="797" t="s">
        <v>0</v>
      </c>
      <c r="CB3" s="781">
        <f>A20</f>
        <v>133988</v>
      </c>
      <c r="CC3" s="52">
        <f>B22</f>
        <v>133357</v>
      </c>
      <c r="CD3" s="49">
        <f>A24</f>
        <v>134323</v>
      </c>
      <c r="CE3" s="782">
        <v>1E-3</v>
      </c>
      <c r="CF3" s="783">
        <f>ABS(CI2-CH2)</f>
        <v>0.51211489657379161</v>
      </c>
      <c r="CG3" s="769">
        <f>ABS(CH2-CI1)</f>
        <v>3.2542965481923147E-2</v>
      </c>
      <c r="CH3" s="769">
        <f>ABS(CB2-CH2)</f>
        <v>0.58366128451808663</v>
      </c>
      <c r="CI3" s="784">
        <f>ABS(CH3-CF3)</f>
        <v>7.154638794429502E-2</v>
      </c>
      <c r="CJ3" s="785">
        <f>IF(CI3&gt;CG3,CI2,CG4)</f>
        <v>133.63524936205573</v>
      </c>
      <c r="CK3" s="786">
        <f>(CI2+CI3)</f>
        <v>133.70679575000003</v>
      </c>
      <c r="CL3" s="786">
        <f>(CI1+CI2+CH2+CI3*3)/3</f>
        <v>133.35453816379018</v>
      </c>
      <c r="CM3" s="787">
        <f>(CM4+CL4+CN4)/3</f>
        <v>2787202.4836689415</v>
      </c>
      <c r="CN3" s="787">
        <f>(CN4+CL4)/2</f>
        <v>3565781.9678305718</v>
      </c>
      <c r="CO3" s="769"/>
      <c r="CP3" s="769"/>
      <c r="CQ3" s="769"/>
      <c r="CR3" s="769"/>
      <c r="CS3" s="769"/>
      <c r="CT3" s="769"/>
      <c r="CU3" s="769"/>
    </row>
    <row r="4" spans="1:99" ht="15.75" thickBot="1" x14ac:dyDescent="0.3">
      <c r="A4" s="3">
        <f>(C1+J3+K3)/3</f>
        <v>1.3405645715997221</v>
      </c>
      <c r="B4" s="26">
        <f>INT(H2^0.5)</f>
        <v>1</v>
      </c>
      <c r="C4" s="3">
        <f>((B4*D4+E4/360)^2+B4^2)/2</f>
        <v>0.5280640184019717</v>
      </c>
      <c r="D4" s="3">
        <v>0.1</v>
      </c>
      <c r="E4" s="27">
        <f>H3*10000</f>
        <v>49.288883037539307</v>
      </c>
      <c r="F4" s="28">
        <f>(A4+(C4/100))</f>
        <v>1.3458452117837418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3">
        <f>(W1+AD3+AE3)/3</f>
        <v>1.7220266053522064</v>
      </c>
      <c r="V4" s="26">
        <f>INT(AB2^0.5)</f>
        <v>1</v>
      </c>
      <c r="W4" s="3">
        <f>((V4*X4+Y4/360)^2+V4^2)/2</f>
        <v>0.52432031283158098</v>
      </c>
      <c r="X4" s="3">
        <v>0.1</v>
      </c>
      <c r="Y4" s="27">
        <f>AB3*10000</f>
        <v>43.396631452132794</v>
      </c>
      <c r="Z4" s="28">
        <f>(U4+(W4/100))</f>
        <v>1.7272698084805223</v>
      </c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97"/>
      <c r="BZ4" s="797"/>
      <c r="CA4" s="797"/>
      <c r="CB4" s="769">
        <f>(CD1+CK3+CL3)/3</f>
        <v>133.79477797126341</v>
      </c>
      <c r="CC4" s="788">
        <f>INT(CI2^0.5)</f>
        <v>11</v>
      </c>
      <c r="CD4" s="769">
        <f>((CC4*CE4+CF4/360)^2+CC4^2)/2</f>
        <v>65.266018346089396</v>
      </c>
      <c r="CE4" s="769">
        <v>0.1</v>
      </c>
      <c r="CF4" s="789">
        <f>CI3*10000</f>
        <v>715.4638794429502</v>
      </c>
      <c r="CG4" s="790">
        <f>(CB4+(CD4/100))</f>
        <v>134.4474381547243</v>
      </c>
      <c r="CH4" s="791">
        <f>(CJ3-CI3*CF4/100)</f>
        <v>133.12336079926817</v>
      </c>
      <c r="CI4" s="792">
        <v>1</v>
      </c>
      <c r="CJ4" s="793" t="str">
        <f>IF(CI3&gt;CG3,"sell","buy")</f>
        <v>sell</v>
      </c>
      <c r="CK4" s="794">
        <f>(CD3+CJ3)</f>
        <v>134456.63524936207</v>
      </c>
      <c r="CL4" s="787">
        <f>(CD3+CC3+CB3+CI3)/CI3</f>
        <v>5614092.9414790422</v>
      </c>
      <c r="CM4" s="787">
        <f>(CD3+CC3+CB3+CL4+CK4)/5</f>
        <v>1230043.515345681</v>
      </c>
      <c r="CN4" s="787">
        <f>(CM4+((CK4+CL4)/20))</f>
        <v>1517470.9941821012</v>
      </c>
      <c r="CO4" s="769"/>
      <c r="CP4" s="769"/>
      <c r="CQ4" s="769"/>
      <c r="CR4" s="769"/>
      <c r="CS4" s="769"/>
      <c r="CT4" s="769"/>
      <c r="CU4" s="769"/>
    </row>
    <row r="5" spans="1:99" ht="15.75" thickBot="1" x14ac:dyDescent="0.3">
      <c r="A5" s="1">
        <f>A7*D7</f>
        <v>1.6597300000000001</v>
      </c>
      <c r="B5" s="2">
        <f>B7*D7</f>
        <v>1.6560500000000002</v>
      </c>
      <c r="C5" s="2">
        <f>C7*D7</f>
        <v>1.6602700000000001</v>
      </c>
      <c r="D5" s="3">
        <f>((A5+B5)/2)+((B5+C5)/2)</f>
        <v>3.3160500000000002</v>
      </c>
      <c r="E5" s="3">
        <f>(A5-B5)^2</f>
        <v>1.3542399999999305E-5</v>
      </c>
      <c r="F5" s="3">
        <f>(C5-B5)^2</f>
        <v>1.7808399999999076E-5</v>
      </c>
      <c r="G5" s="4">
        <f>J6</f>
        <v>3.3160186492000001</v>
      </c>
      <c r="H5" s="5">
        <f>(G5/2)</f>
        <v>1.6580093246000001</v>
      </c>
      <c r="I5" s="3">
        <f>(A5/B5)</f>
        <v>1.0022221551281663</v>
      </c>
      <c r="J5" s="3">
        <f>(C5/B5)</f>
        <v>1.0025482322393646</v>
      </c>
      <c r="K5" s="3">
        <f>I5^0.5</f>
        <v>1.0011104610022643</v>
      </c>
      <c r="L5" s="3">
        <f>J5^0.5</f>
        <v>1.001273305466277</v>
      </c>
      <c r="M5" s="3">
        <f>INT(K5)-E6</f>
        <v>0</v>
      </c>
      <c r="N5" s="3">
        <f>INT(L5)-E6</f>
        <v>0</v>
      </c>
      <c r="O5" s="3">
        <f>(M5+45/360)^2</f>
        <v>1.5625E-2</v>
      </c>
      <c r="P5" s="3">
        <f>(N5+45/360)^2</f>
        <v>1.5625E-2</v>
      </c>
      <c r="Q5" s="3">
        <f>(O5+P5)/3</f>
        <v>1.0416666666666666E-2</v>
      </c>
      <c r="R5" s="3">
        <f>(Q5*4)</f>
        <v>4.1666666666666664E-2</v>
      </c>
      <c r="S5" s="3">
        <f>R5/3</f>
        <v>1.3888888888888888E-2</v>
      </c>
      <c r="T5" s="6">
        <f>(G6+H5)/2</f>
        <v>1.6496881973606214</v>
      </c>
      <c r="U5" s="1">
        <f>U7*X7</f>
        <v>1.3769900000000002</v>
      </c>
      <c r="V5" s="2">
        <f>V7*X7</f>
        <v>1.3734400000000002</v>
      </c>
      <c r="W5" s="2">
        <f>W7*X7</f>
        <v>1.3797400000000002</v>
      </c>
      <c r="X5" s="3">
        <f>((U5+V5)/2)+((V5+W5)/2)</f>
        <v>2.7518050000000005</v>
      </c>
      <c r="Y5" s="3">
        <f>(U5-V5)^2</f>
        <v>1.2602499999999588E-5</v>
      </c>
      <c r="Z5" s="3">
        <f>(W5-V5)^2</f>
        <v>3.9689999999999649E-5</v>
      </c>
      <c r="AA5" s="4">
        <f>AD6</f>
        <v>2.7517527075000006</v>
      </c>
      <c r="AB5" s="5">
        <f>(AA5/2)</f>
        <v>1.3758763537500003</v>
      </c>
      <c r="AC5" s="3">
        <f>(U5/V5)</f>
        <v>1.0025847506989749</v>
      </c>
      <c r="AD5" s="3">
        <f>(W5/V5)</f>
        <v>1.0045870223671947</v>
      </c>
      <c r="AE5" s="3">
        <f>AC5^0.5</f>
        <v>1.0012915413100096</v>
      </c>
      <c r="AF5" s="3">
        <f>AD5^0.5</f>
        <v>1.0022908871017409</v>
      </c>
      <c r="AG5" s="3">
        <f>INT(AE5)-Y6</f>
        <v>0</v>
      </c>
      <c r="AH5" s="3">
        <f>INT(AF5)-Y6</f>
        <v>0</v>
      </c>
      <c r="AI5" s="3">
        <f>(AG5+45/360)^2</f>
        <v>1.5625E-2</v>
      </c>
      <c r="AJ5" s="3">
        <f>(AH5+45/360)^2</f>
        <v>1.5625E-2</v>
      </c>
      <c r="AK5" s="3">
        <f>(AI5+AJ5)/3</f>
        <v>1.0416666666666666E-2</v>
      </c>
      <c r="AL5" s="3">
        <f>(AK5*4)</f>
        <v>4.1666666666666664E-2</v>
      </c>
      <c r="AM5" s="3">
        <f>AL5/3</f>
        <v>1.3888888888888888E-2</v>
      </c>
      <c r="AN5" s="6">
        <f>(AA6+AB5)/2</f>
        <v>1.3694856977518204</v>
      </c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97"/>
      <c r="BZ5" s="797"/>
      <c r="CA5" s="797"/>
      <c r="CB5" s="767">
        <f>CB7*CE7</f>
        <v>165.97300000000001</v>
      </c>
      <c r="CC5" s="768">
        <f>CC7*CE7</f>
        <v>165.60499999999999</v>
      </c>
      <c r="CD5" s="768">
        <f>CD7*CE7</f>
        <v>166.02700000000002</v>
      </c>
      <c r="CE5" s="769">
        <f>((CB5+CC5)/2)+((CC5+CD5)/2)</f>
        <v>331.60500000000002</v>
      </c>
      <c r="CF5" s="769">
        <f>(CB5-CC5)^2</f>
        <v>0.13542400000001723</v>
      </c>
      <c r="CG5" s="769">
        <f>(CD5-CC5)^2</f>
        <v>0.1780840000000215</v>
      </c>
      <c r="CH5" s="770">
        <f>CK6</f>
        <v>331.29149200000001</v>
      </c>
      <c r="CI5" s="771">
        <f>(CH5/2)</f>
        <v>165.645746</v>
      </c>
      <c r="CJ5" s="769">
        <f>(CB5/CC5)</f>
        <v>1.0022221551281665</v>
      </c>
      <c r="CK5" s="769">
        <f>(CD5/CC5)</f>
        <v>1.0025482322393648</v>
      </c>
      <c r="CL5" s="769">
        <f>CJ5^0.5</f>
        <v>1.0011104610022645</v>
      </c>
      <c r="CM5" s="769">
        <f>CK5^0.5</f>
        <v>1.0012733054662772</v>
      </c>
      <c r="CN5" s="769">
        <f>INT(CL5)-CF6</f>
        <v>0</v>
      </c>
      <c r="CO5" s="769">
        <f>INT(CM5)-CF6</f>
        <v>0</v>
      </c>
      <c r="CP5" s="769">
        <f>(CN5+45/360)^2</f>
        <v>1.5625E-2</v>
      </c>
      <c r="CQ5" s="769">
        <f>(CO5+45/360)^2</f>
        <v>1.5625E-2</v>
      </c>
      <c r="CR5" s="769">
        <f>(CP5+CQ5)/3</f>
        <v>1.0416666666666666E-2</v>
      </c>
      <c r="CS5" s="769">
        <f>(CR5*4)</f>
        <v>4.1666666666666664E-2</v>
      </c>
      <c r="CT5" s="769">
        <f>CS5/3</f>
        <v>1.3888888888888888E-2</v>
      </c>
      <c r="CU5" s="772">
        <f>(CH6+CI5)/2</f>
        <v>165.56172529566095</v>
      </c>
    </row>
    <row r="6" spans="1:99" x14ac:dyDescent="0.25">
      <c r="A6" s="8">
        <f>(H5+C5)/2</f>
        <v>1.6591396623000001</v>
      </c>
      <c r="B6" s="3">
        <f>Q5/3</f>
        <v>3.472222222222222E-3</v>
      </c>
      <c r="C6" s="3">
        <f>B6/2</f>
        <v>1.736111111111111E-3</v>
      </c>
      <c r="D6" s="9">
        <f>C6/2</f>
        <v>8.6805555555555551E-4</v>
      </c>
      <c r="E6" s="10">
        <v>1</v>
      </c>
      <c r="F6" s="3">
        <f>(F5+E5)^0.5</f>
        <v>5.5991785111745079E-3</v>
      </c>
      <c r="G6" s="11">
        <f>(H5)*((F6-C6-D6)^(B6-C6))</f>
        <v>1.6413670701212428</v>
      </c>
      <c r="H6" s="12">
        <f>(C5+A5+G6+T5)/4</f>
        <v>1.6527638168704661</v>
      </c>
      <c r="I6" s="13">
        <f>E5-F5-D5</f>
        <v>-3.3160542660000001</v>
      </c>
      <c r="J6" s="13">
        <f>D5-E5-F5</f>
        <v>3.3160186492000001</v>
      </c>
      <c r="K6" s="13">
        <f>F5+E5-D5</f>
        <v>-3.3160186492000001</v>
      </c>
      <c r="L6" s="13">
        <f>F5+D5-E5</f>
        <v>3.3160542660000001</v>
      </c>
      <c r="M6" s="14"/>
      <c r="N6" s="3"/>
      <c r="O6" s="3"/>
      <c r="P6" s="3"/>
      <c r="Q6" s="3"/>
      <c r="R6" s="3"/>
      <c r="S6" s="3"/>
      <c r="T6" s="15">
        <f>(H5+T5)/2</f>
        <v>1.6538487609803108</v>
      </c>
      <c r="U6" s="8">
        <f>(AB5+W5)/2</f>
        <v>1.3778081768750003</v>
      </c>
      <c r="V6" s="3">
        <f>AK5/3</f>
        <v>3.472222222222222E-3</v>
      </c>
      <c r="W6" s="3">
        <f>V6/2</f>
        <v>1.736111111111111E-3</v>
      </c>
      <c r="X6" s="9">
        <f>W6/2</f>
        <v>8.6805555555555551E-4</v>
      </c>
      <c r="Y6" s="10">
        <v>1</v>
      </c>
      <c r="Z6" s="3">
        <f>(Z5+Y5)^0.5</f>
        <v>7.2313553363113911E-3</v>
      </c>
      <c r="AA6" s="11">
        <f>(AB5)*((Z6-W6-X6)^(V6-W6))</f>
        <v>1.3630950417536407</v>
      </c>
      <c r="AB6" s="12">
        <f>(W5+U5+AA6+AN5)/4</f>
        <v>1.3723276848763653</v>
      </c>
      <c r="AC6" s="13">
        <f>Y5-Z5-X5</f>
        <v>-2.7518320875000004</v>
      </c>
      <c r="AD6" s="13">
        <f>X5-Y5-Z5</f>
        <v>2.7517527075000006</v>
      </c>
      <c r="AE6" s="13">
        <f>Z5+Y5-X5</f>
        <v>-2.7517527075000006</v>
      </c>
      <c r="AF6" s="13">
        <f>Z5+X5-Y5</f>
        <v>2.7518320875000004</v>
      </c>
      <c r="AG6" s="14"/>
      <c r="AH6" s="3"/>
      <c r="AI6" s="3"/>
      <c r="AJ6" s="3"/>
      <c r="AK6" s="3"/>
      <c r="AL6" s="3"/>
      <c r="AM6" s="3"/>
      <c r="AN6" s="15">
        <f>(AB5+AN5)/2</f>
        <v>1.3726810257509103</v>
      </c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97"/>
      <c r="BZ6" s="797"/>
      <c r="CA6" s="797"/>
      <c r="CB6" s="795">
        <f>(CI5+CD5)/2</f>
        <v>165.83637300000001</v>
      </c>
      <c r="CC6" s="769">
        <f>CR5/3</f>
        <v>3.472222222222222E-3</v>
      </c>
      <c r="CD6" s="769">
        <f>CC6/2</f>
        <v>1.736111111111111E-3</v>
      </c>
      <c r="CE6" s="774">
        <f>CD6/2</f>
        <v>8.6805555555555551E-4</v>
      </c>
      <c r="CF6" s="775">
        <v>1</v>
      </c>
      <c r="CG6" s="769">
        <f>(CG5+CF5)^0.5</f>
        <v>0.55991785111749992</v>
      </c>
      <c r="CH6" s="776">
        <f>(CI5)*((CG6-CD6-CE6)^(CC6-CD6))</f>
        <v>165.4777045913219</v>
      </c>
      <c r="CI6" s="777">
        <f>(CD5+CB5+CH6+CU5)/4</f>
        <v>165.7598574717457</v>
      </c>
      <c r="CJ6" s="778">
        <f>(CF5-CG5-CE5)/CI8</f>
        <v>-331.64766000000003</v>
      </c>
      <c r="CK6" s="778">
        <f>(CE5-CF5-CG5)/CI8</f>
        <v>331.29149200000001</v>
      </c>
      <c r="CL6" s="778">
        <f>(CG5+CF5-CE5)/CI8</f>
        <v>-331.29149200000001</v>
      </c>
      <c r="CM6" s="778">
        <f>(CG5+CE5-CF5)/CI8</f>
        <v>331.64766000000003</v>
      </c>
      <c r="CN6" s="779"/>
      <c r="CO6" s="769"/>
      <c r="CP6" s="769"/>
      <c r="CQ6" s="769"/>
      <c r="CR6" s="769"/>
      <c r="CS6" s="769"/>
      <c r="CT6" s="769"/>
      <c r="CU6" s="780">
        <f>(CI5+CU5)/2</f>
        <v>165.60373564783049</v>
      </c>
    </row>
    <row r="7" spans="1:99" ht="15.75" thickBot="1" x14ac:dyDescent="0.3">
      <c r="A7" s="16">
        <f>E20</f>
        <v>165973</v>
      </c>
      <c r="B7" s="17">
        <f>F22</f>
        <v>165605</v>
      </c>
      <c r="C7" s="18">
        <f>E24</f>
        <v>166027</v>
      </c>
      <c r="D7" s="19">
        <v>1.0000000000000001E-5</v>
      </c>
      <c r="E7" s="20">
        <f>ABS(H6-G6)</f>
        <v>1.1396746749223308E-2</v>
      </c>
      <c r="F7" s="3">
        <f>ABS(G6-H5)</f>
        <v>1.6642254478757224E-2</v>
      </c>
      <c r="G7" s="3">
        <f>ABS(A6-G6)</f>
        <v>1.7772592178757263E-2</v>
      </c>
      <c r="H7" s="21">
        <f>ABS(G7-E7)</f>
        <v>6.3758454295339551E-3</v>
      </c>
      <c r="I7" s="22" t="str">
        <f>IF(H7&gt;F7,"short","long")</f>
        <v>long</v>
      </c>
      <c r="J7" s="23">
        <f>(H6+H7)</f>
        <v>1.6591396623000001</v>
      </c>
      <c r="K7" s="24">
        <f>(H5+H6+G6+H7*3)/3</f>
        <v>1.6570892492934373</v>
      </c>
      <c r="L7" s="25"/>
      <c r="M7" s="25"/>
      <c r="N7" s="25"/>
      <c r="O7" s="25"/>
      <c r="P7" s="25"/>
      <c r="Q7" s="25"/>
      <c r="R7" s="25"/>
      <c r="S7" s="25"/>
      <c r="T7" s="25"/>
      <c r="U7" s="16">
        <f>T20</f>
        <v>137699</v>
      </c>
      <c r="V7" s="17">
        <f>U22</f>
        <v>137344</v>
      </c>
      <c r="W7" s="18">
        <f>T24</f>
        <v>137974</v>
      </c>
      <c r="X7" s="19">
        <v>1.0000000000000001E-5</v>
      </c>
      <c r="Y7" s="20">
        <f>ABS(AB6-AA6)</f>
        <v>9.2326431227245376E-3</v>
      </c>
      <c r="Z7" s="3">
        <f>ABS(AA6-AB5)</f>
        <v>1.2781311996359568E-2</v>
      </c>
      <c r="AA7" s="3">
        <f>ABS(U6-AA6)</f>
        <v>1.4713135121359633E-2</v>
      </c>
      <c r="AB7" s="21">
        <f>ABS(AA7-Y7)</f>
        <v>5.4804919986350953E-3</v>
      </c>
      <c r="AC7" s="22" t="str">
        <f>IF(AB7&gt;Z7,"short","long")</f>
        <v>long</v>
      </c>
      <c r="AD7" s="23">
        <f>(AB6+AB7)</f>
        <v>1.3778081768750003</v>
      </c>
      <c r="AE7" s="24">
        <f>(AB5+AB6+AA6+AB7*3)/3</f>
        <v>1.3759135187919707</v>
      </c>
      <c r="AF7" s="25"/>
      <c r="AG7" s="25"/>
      <c r="AH7" s="25"/>
      <c r="AI7" s="25"/>
      <c r="AJ7" s="25"/>
      <c r="AK7" s="25"/>
      <c r="AL7" s="25"/>
      <c r="AM7" s="25"/>
      <c r="AN7" s="25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97"/>
      <c r="BZ7" s="797"/>
      <c r="CA7" s="797" t="s">
        <v>4</v>
      </c>
      <c r="CB7" s="781">
        <f>E20</f>
        <v>165973</v>
      </c>
      <c r="CC7" s="52">
        <f>F22</f>
        <v>165605</v>
      </c>
      <c r="CD7" s="49">
        <f>E24</f>
        <v>166027</v>
      </c>
      <c r="CE7" s="782">
        <v>1E-3</v>
      </c>
      <c r="CF7" s="783">
        <f>ABS(CI6-CH6)</f>
        <v>0.28215288042380848</v>
      </c>
      <c r="CG7" s="769">
        <f>ABS(CH6-CI5)</f>
        <v>0.16804140867810702</v>
      </c>
      <c r="CH7" s="769">
        <f>ABS(CB6-CH6)</f>
        <v>0.35866840867811334</v>
      </c>
      <c r="CI7" s="784">
        <f>ABS(CH7-CF7)</f>
        <v>7.6515528254304854E-2</v>
      </c>
      <c r="CJ7" s="785">
        <f>IF(CI7&gt;CG7,CI6,CG8)</f>
        <v>166.63117842886857</v>
      </c>
      <c r="CK7" s="786">
        <f>(CI6+CI7)</f>
        <v>165.83637300000001</v>
      </c>
      <c r="CL7" s="786">
        <f>(CI5+CI6+CH6+CI7*3)/3</f>
        <v>165.70428488261018</v>
      </c>
      <c r="CM7" s="787">
        <f>(CM8+CL8+CN8)/3</f>
        <v>3234548.4144585598</v>
      </c>
      <c r="CN7" s="787">
        <f>(CN8+CL8)/2</f>
        <v>4135110.6130979015</v>
      </c>
      <c r="CO7" s="769"/>
      <c r="CP7" s="769"/>
      <c r="CQ7" s="769"/>
      <c r="CR7" s="769"/>
      <c r="CS7" s="769"/>
      <c r="CT7" s="769"/>
      <c r="CU7" s="769"/>
    </row>
    <row r="8" spans="1:99" ht="15.75" thickBot="1" x14ac:dyDescent="0.3">
      <c r="A8" s="3">
        <f>(C5+J7+K7)/3</f>
        <v>1.6588329705311458</v>
      </c>
      <c r="B8" s="26">
        <f>INT(H6^0.5)</f>
        <v>1</v>
      </c>
      <c r="C8" s="3">
        <f>((B8*D8+E8/360)^2+B8^2)/2</f>
        <v>0.53839409414890183</v>
      </c>
      <c r="D8" s="3">
        <v>0.1</v>
      </c>
      <c r="E8" s="27">
        <f>H7*10000</f>
        <v>63.758454295339547</v>
      </c>
      <c r="F8" s="28">
        <f>(A8+(C8/100))</f>
        <v>1.6642169114726348</v>
      </c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3">
        <f>(W5+AD7+AE7)/3</f>
        <v>1.3778205652223239</v>
      </c>
      <c r="V8" s="26">
        <f>INT(AB6^0.5)</f>
        <v>1</v>
      </c>
      <c r="W8" s="3">
        <f>((V8*X8+Y8/360)^2+V8^2)/2</f>
        <v>0.53181147181222066</v>
      </c>
      <c r="X8" s="3">
        <v>0.1</v>
      </c>
      <c r="Y8" s="27">
        <f>AB7*10000</f>
        <v>54.804919986350953</v>
      </c>
      <c r="Z8" s="28">
        <f>(U8+(W8/100))</f>
        <v>1.3831386799404461</v>
      </c>
      <c r="AA8" s="25"/>
      <c r="AB8" s="25"/>
      <c r="AC8" s="25"/>
      <c r="AD8" s="29">
        <f>AD10*AG10</f>
        <v>1.3398800000000002</v>
      </c>
      <c r="AE8" s="30">
        <f>AE10*AG10</f>
        <v>1.3335700000000001</v>
      </c>
      <c r="AF8" s="30">
        <f>AF10*AG10</f>
        <v>1.3432300000000001</v>
      </c>
      <c r="AG8" s="3">
        <f>((AD8+AE8)/2)+((AE8+AF8)/2)</f>
        <v>2.6751250000000004</v>
      </c>
      <c r="AH8" s="3">
        <f>(AD8-AE8)^2</f>
        <v>3.9816100000000474E-5</v>
      </c>
      <c r="AI8" s="3">
        <f>(AF8-AE8)^2</f>
        <v>9.3315600000000039E-5</v>
      </c>
      <c r="AJ8" s="4">
        <f>AM9</f>
        <v>2.6749918683000002</v>
      </c>
      <c r="AK8" s="5">
        <f>(AJ8/2)</f>
        <v>1.3374959341500001</v>
      </c>
      <c r="AL8" s="3">
        <f>(AD8/AE8)</f>
        <v>1.0047316601303269</v>
      </c>
      <c r="AM8" s="3">
        <f>(AF8/AE8)</f>
        <v>1.0072437142407222</v>
      </c>
      <c r="AN8" s="3">
        <f>AL8^0.5</f>
        <v>1.0023630380906545</v>
      </c>
      <c r="AO8" s="3">
        <f>AM8^0.5</f>
        <v>1.003615321844342</v>
      </c>
      <c r="AP8" s="3">
        <f>INT(AN8)-AH9</f>
        <v>0</v>
      </c>
      <c r="AQ8" s="3">
        <f>INT(AO8)-AH9</f>
        <v>0</v>
      </c>
      <c r="AR8" s="3">
        <f>(AP8+45/360)^2</f>
        <v>1.5625E-2</v>
      </c>
      <c r="AS8" s="3">
        <f>(AQ8+45/360)^2</f>
        <v>1.5625E-2</v>
      </c>
      <c r="AT8" s="3">
        <f>(AR8+AS8)/3</f>
        <v>1.0416666666666666E-2</v>
      </c>
      <c r="AU8" s="3">
        <f>(AT8*4)</f>
        <v>4.1666666666666664E-2</v>
      </c>
      <c r="AV8" s="3">
        <f>AU8/3</f>
        <v>1.3888888888888888E-2</v>
      </c>
      <c r="AW8" s="31">
        <f>(AJ9+AK8)/2</f>
        <v>1.3320407497449946</v>
      </c>
      <c r="AX8" s="29">
        <f>AX10*BA10</f>
        <v>131.98500000000001</v>
      </c>
      <c r="AY8" s="30">
        <f>AY10*BA10</f>
        <v>131.87899999999999</v>
      </c>
      <c r="AZ8" s="30">
        <f>AZ10*BA10</f>
        <v>132.102</v>
      </c>
      <c r="BA8" s="3">
        <f>((AX8+AY8)/2)+((AY8+AZ8)/2)</f>
        <v>263.92250000000001</v>
      </c>
      <c r="BB8" s="3">
        <f>(AX8-AY8)^2</f>
        <v>1.1236000000004869E-2</v>
      </c>
      <c r="BC8" s="3">
        <f>(AZ8-AY8)^2</f>
        <v>4.972900000000588E-2</v>
      </c>
      <c r="BD8" s="4">
        <f>BG9</f>
        <v>263.861535</v>
      </c>
      <c r="BE8" s="5">
        <f>(BD8/2)</f>
        <v>131.9307675</v>
      </c>
      <c r="BF8" s="3">
        <f>(AX8/AY8)</f>
        <v>1.0008037670895291</v>
      </c>
      <c r="BG8" s="3">
        <f>(AZ8/AY8)</f>
        <v>1.0016909439713677</v>
      </c>
      <c r="BH8" s="3">
        <f>BF8^0.5</f>
        <v>1.0004018028220107</v>
      </c>
      <c r="BI8" s="3">
        <f>BG8^0.5</f>
        <v>1.0008451148761071</v>
      </c>
      <c r="BJ8" s="3">
        <f>INT(BH8)-BB9</f>
        <v>0</v>
      </c>
      <c r="BK8" s="3">
        <f>INT(BI8)-BB9</f>
        <v>0</v>
      </c>
      <c r="BL8" s="3">
        <f>(BJ8+45/360)^2</f>
        <v>1.5625E-2</v>
      </c>
      <c r="BM8" s="3">
        <f>(BK8+45/360)^2</f>
        <v>1.5625E-2</v>
      </c>
      <c r="BN8" s="3">
        <f>(BL8+BM8)/3</f>
        <v>1.0416666666666666E-2</v>
      </c>
      <c r="BO8" s="3">
        <f>(BN8*4)</f>
        <v>4.1666666666666664E-2</v>
      </c>
      <c r="BP8" s="3">
        <f>BO8/3</f>
        <v>1.3888888888888888E-2</v>
      </c>
      <c r="BQ8" s="31">
        <f>(BD9+BE8)/2</f>
        <v>131.76956368418715</v>
      </c>
      <c r="BR8" s="7"/>
      <c r="BS8" s="7"/>
      <c r="BT8" s="7"/>
      <c r="BU8" s="7"/>
      <c r="BV8" s="7"/>
      <c r="BW8" s="7"/>
      <c r="BX8" s="7"/>
      <c r="BY8" s="797"/>
      <c r="BZ8" s="797"/>
      <c r="CA8" s="797"/>
      <c r="CB8" s="769">
        <f>(CD5+CK7+CL7)/3</f>
        <v>165.85588596087007</v>
      </c>
      <c r="CC8" s="788">
        <f>INT(CI6^0.5)</f>
        <v>12</v>
      </c>
      <c r="CD8" s="769">
        <f>((CC8*CE8+CF8/360)^2+CC8^2)/2</f>
        <v>77.52924679984848</v>
      </c>
      <c r="CE8" s="769">
        <v>0.1</v>
      </c>
      <c r="CF8" s="789">
        <f>CI7*10000</f>
        <v>765.15528254304854</v>
      </c>
      <c r="CG8" s="790">
        <f>(CB8+(CD8/100))</f>
        <v>166.63117842886857</v>
      </c>
      <c r="CH8" s="791">
        <f>(CJ7-CI7*CF8/100)</f>
        <v>166.04571582246504</v>
      </c>
      <c r="CI8" s="792">
        <v>1</v>
      </c>
      <c r="CJ8" s="793" t="str">
        <f>IF(CI7&gt;CG7,"sell","buy")</f>
        <v>buy</v>
      </c>
      <c r="CK8" s="794">
        <f>(CD7+CJ7)</f>
        <v>166193.63117842886</v>
      </c>
      <c r="CL8" s="787">
        <f>(CD7+CC7+CB7+CI7)/CI7</f>
        <v>6503321.4547209563</v>
      </c>
      <c r="CM8" s="787">
        <f>(CD7+CC7+CB7+CL8+CK8)/5</f>
        <v>1433424.017179877</v>
      </c>
      <c r="CN8" s="787">
        <f>(CM8+((CK8+CL8)/20))</f>
        <v>1766899.7714748462</v>
      </c>
      <c r="CO8" s="769"/>
      <c r="CP8" s="769"/>
      <c r="CQ8" s="769"/>
      <c r="CR8" s="769"/>
      <c r="CS8" s="769"/>
      <c r="CT8" s="769"/>
      <c r="CU8" s="769"/>
    </row>
    <row r="9" spans="1:99" ht="15.75" thickBot="1" x14ac:dyDescent="0.3">
      <c r="A9" s="32"/>
      <c r="B9" s="32"/>
      <c r="C9" s="759" t="str">
        <f>IF((D10/100000)&gt;D52,"L","S")</f>
        <v>L</v>
      </c>
      <c r="D9" s="759" t="str">
        <f>IF(C10&lt;D11,"L","S")</f>
        <v>L</v>
      </c>
      <c r="E9" s="32"/>
      <c r="F9" s="32"/>
      <c r="G9" s="760" t="str">
        <f>IF((H10/100000)&gt;AP52,"s","l")</f>
        <v>l</v>
      </c>
      <c r="H9" s="759" t="str">
        <f>IF(G10&lt;H11,"s","l")</f>
        <v>s</v>
      </c>
      <c r="I9" s="33"/>
      <c r="J9" s="33"/>
      <c r="K9" s="33"/>
      <c r="L9" s="32"/>
      <c r="M9" s="7"/>
      <c r="N9" s="7"/>
      <c r="O9" s="7"/>
      <c r="P9" s="7"/>
      <c r="Q9" s="7"/>
      <c r="R9" s="759" t="str">
        <f>IF((S10/1000)&lt;D274,"s","l")</f>
        <v>s</v>
      </c>
      <c r="S9" s="759" t="str">
        <f>IF(R10&lt;S11,"s","l")</f>
        <v>s</v>
      </c>
      <c r="T9" s="7"/>
      <c r="U9" s="7"/>
      <c r="V9" s="761" t="str">
        <f>IF((W10/1000)&lt;AP274,"l","s")</f>
        <v>s</v>
      </c>
      <c r="W9" s="759" t="str">
        <f>IF(V10&lt;W11,"s","l")</f>
        <v>s</v>
      </c>
      <c r="X9" s="7"/>
      <c r="Y9" s="7"/>
      <c r="Z9" s="7"/>
      <c r="AA9" s="7"/>
      <c r="AB9" s="7"/>
      <c r="AC9" s="7"/>
      <c r="AD9" s="8">
        <f>(AK8+AF8)/2</f>
        <v>1.3403629670750001</v>
      </c>
      <c r="AE9" s="3">
        <f>AT8/3</f>
        <v>3.472222222222222E-3</v>
      </c>
      <c r="AF9" s="3">
        <f>AE9/2</f>
        <v>1.736111111111111E-3</v>
      </c>
      <c r="AG9" s="9">
        <f>AF9/2</f>
        <v>8.6805555555555551E-4</v>
      </c>
      <c r="AH9" s="10">
        <v>1</v>
      </c>
      <c r="AI9" s="3">
        <f>(AI8+AH8)^0.5</f>
        <v>1.153827110099258E-2</v>
      </c>
      <c r="AJ9" s="11">
        <f>(AK8)*((AI9-AF9-AG9)^(AE9-AF9))</f>
        <v>1.3265855653399894</v>
      </c>
      <c r="AK9" s="12">
        <f>(AF8+AD8+AJ9+AW8)/4</f>
        <v>1.3354340787712462</v>
      </c>
      <c r="AL9" s="13">
        <f>AH8-AI8-AG8</f>
        <v>-2.6751784995000003</v>
      </c>
      <c r="AM9" s="13">
        <f>AG8-AH8-AI8</f>
        <v>2.6749918683000002</v>
      </c>
      <c r="AN9" s="13">
        <f>AI8+AH8-AG8</f>
        <v>-2.6749918683000002</v>
      </c>
      <c r="AO9" s="13">
        <f>AI8+AG8-AH8</f>
        <v>2.6751784995000003</v>
      </c>
      <c r="AP9" s="14"/>
      <c r="AQ9" s="3"/>
      <c r="AR9" s="3"/>
      <c r="AS9" s="3"/>
      <c r="AT9" s="3"/>
      <c r="AU9" s="3"/>
      <c r="AV9" s="3"/>
      <c r="AW9" s="15">
        <f>(AK8+AW8)/2</f>
        <v>1.3347683419474974</v>
      </c>
      <c r="AX9" s="8">
        <f>(BE8+AZ8)/2</f>
        <v>132.01638374999999</v>
      </c>
      <c r="AY9" s="3">
        <f>BN8/3</f>
        <v>3.472222222222222E-3</v>
      </c>
      <c r="AZ9" s="3">
        <f>AY9/2</f>
        <v>1.736111111111111E-3</v>
      </c>
      <c r="BA9" s="9">
        <f>AZ9/2</f>
        <v>8.6805555555555551E-4</v>
      </c>
      <c r="BB9" s="10">
        <v>1</v>
      </c>
      <c r="BC9" s="3">
        <f>(BC8+BB8)^0.5</f>
        <v>0.24691091510909505</v>
      </c>
      <c r="BD9" s="11">
        <f>(BE8)*((BC9-AZ9-BA9)^(AY9-AZ9))</f>
        <v>131.60835986837429</v>
      </c>
      <c r="BE9" s="12">
        <f>(AZ8+AX8+BD9+BQ8)/4</f>
        <v>131.86623088814036</v>
      </c>
      <c r="BF9" s="13">
        <f>BB8-BC8-BA8</f>
        <v>-263.96099300000003</v>
      </c>
      <c r="BG9" s="13">
        <f>BA8-BB8-BC8</f>
        <v>263.861535</v>
      </c>
      <c r="BH9" s="13">
        <f>BC8+BB8-BA8</f>
        <v>-263.861535</v>
      </c>
      <c r="BI9" s="13">
        <f>BC8+BA8-BB8</f>
        <v>263.96099300000003</v>
      </c>
      <c r="BJ9" s="14"/>
      <c r="BK9" s="3"/>
      <c r="BL9" s="3"/>
      <c r="BM9" s="3"/>
      <c r="BN9" s="3"/>
      <c r="BO9" s="3"/>
      <c r="BP9" s="3"/>
      <c r="BQ9" s="15">
        <f>(BE8+BQ8)/2</f>
        <v>131.85016559209356</v>
      </c>
      <c r="BR9" s="7"/>
      <c r="BS9" s="7"/>
      <c r="BT9" s="7"/>
      <c r="BU9" s="7"/>
      <c r="BV9" s="7"/>
      <c r="BW9" s="7"/>
      <c r="BX9" s="7"/>
      <c r="BY9" s="797"/>
      <c r="BZ9" s="797"/>
      <c r="CA9" s="797"/>
      <c r="CB9" s="767">
        <f>CB11*CE11</f>
        <v>172.69300000000001</v>
      </c>
      <c r="CC9" s="768">
        <f>CC11*CE11</f>
        <v>171.62200000000001</v>
      </c>
      <c r="CD9" s="768">
        <f>CD11*CE11</f>
        <v>172.40100000000001</v>
      </c>
      <c r="CE9" s="769">
        <f>((CB9+CC9)/2)+((CC9+CD9)/2)</f>
        <v>344.16900000000004</v>
      </c>
      <c r="CF9" s="769">
        <f>(CB9-CC9)^2</f>
        <v>1.1470409999999955</v>
      </c>
      <c r="CG9" s="769">
        <f>(CD9-CC9)^2</f>
        <v>0.6068409999999943</v>
      </c>
      <c r="CH9" s="770">
        <f>CK10</f>
        <v>342.41511800000006</v>
      </c>
      <c r="CI9" s="771">
        <f>(CH9/2)</f>
        <v>171.20755900000003</v>
      </c>
      <c r="CJ9" s="769">
        <f>(CB9/CC9)</f>
        <v>1.0062404586824534</v>
      </c>
      <c r="CK9" s="769">
        <f>(CD9/CC9)</f>
        <v>1.0045390451107667</v>
      </c>
      <c r="CL9" s="769">
        <f>CJ9^0.5</f>
        <v>1.0031153765556848</v>
      </c>
      <c r="CM9" s="769">
        <f>CK9^0.5</f>
        <v>1.0022669530173918</v>
      </c>
      <c r="CN9" s="769">
        <f>INT(CL9)-CF10</f>
        <v>0</v>
      </c>
      <c r="CO9" s="769">
        <f>INT(CM9)-CF10</f>
        <v>0</v>
      </c>
      <c r="CP9" s="769">
        <f>(CN9+45/360)^2</f>
        <v>1.5625E-2</v>
      </c>
      <c r="CQ9" s="769">
        <f>(CO9+45/360)^2</f>
        <v>1.5625E-2</v>
      </c>
      <c r="CR9" s="769">
        <f>(CP9+CQ9)/3</f>
        <v>1.0416666666666666E-2</v>
      </c>
      <c r="CS9" s="769">
        <f>(CR9*4)</f>
        <v>4.1666666666666664E-2</v>
      </c>
      <c r="CT9" s="769">
        <f>CS9/3</f>
        <v>1.3888888888888888E-2</v>
      </c>
      <c r="CU9" s="772">
        <f>(CH10+CI9)/2</f>
        <v>171.24902556637835</v>
      </c>
    </row>
    <row r="10" spans="1:99" x14ac:dyDescent="0.25">
      <c r="A10" s="7"/>
      <c r="B10" s="763">
        <f>(D18+D17)/2</f>
        <v>133566.11261715702</v>
      </c>
      <c r="C10" s="757">
        <f>ABS(D11-C11)</f>
        <v>324.80703827503021</v>
      </c>
      <c r="D10" s="756">
        <f>(D17+D18+D19+D20)/4</f>
        <v>133324.6902971825</v>
      </c>
      <c r="E10" s="7"/>
      <c r="F10" s="765">
        <f>(H18+H17)/2</f>
        <v>165634.34760079236</v>
      </c>
      <c r="G10" s="758">
        <f>ABS(H11-G11)</f>
        <v>227.50250705276267</v>
      </c>
      <c r="H10" s="756">
        <f>(H17+H18+H19+H20)/4</f>
        <v>165447.92655438965</v>
      </c>
      <c r="I10" s="7"/>
      <c r="J10" s="7"/>
      <c r="K10" s="7"/>
      <c r="L10" s="7"/>
      <c r="M10" s="7"/>
      <c r="N10" s="7"/>
      <c r="O10" s="7"/>
      <c r="P10" s="7"/>
      <c r="Q10" s="765">
        <f>(S18+S17)/2</f>
        <v>172414.74813869863</v>
      </c>
      <c r="R10" s="757">
        <f>ABS(S11-R11)</f>
        <v>14.566146372380899</v>
      </c>
      <c r="S10" s="756">
        <f>(S17+S18+S19+S20)/4</f>
        <v>172319.00802268821</v>
      </c>
      <c r="T10" s="7"/>
      <c r="U10" s="765">
        <f>(W18+W17)/2</f>
        <v>137587.84191123833</v>
      </c>
      <c r="V10" s="757">
        <f>ABS(W11-V11)</f>
        <v>756.50556259404402</v>
      </c>
      <c r="W10" s="756">
        <f>(W17+W18+W19+W20)/4</f>
        <v>137377.0453612594</v>
      </c>
      <c r="X10" s="7"/>
      <c r="Y10" s="7"/>
      <c r="Z10" s="7"/>
      <c r="AA10" s="7"/>
      <c r="AB10" s="7"/>
      <c r="AC10" s="7"/>
      <c r="AD10" s="16">
        <f>A20</f>
        <v>133988</v>
      </c>
      <c r="AE10" s="17">
        <f>B22</f>
        <v>133357</v>
      </c>
      <c r="AF10" s="18">
        <f>A24</f>
        <v>134323</v>
      </c>
      <c r="AG10" s="19">
        <v>1.0000000000000001E-5</v>
      </c>
      <c r="AH10" s="20">
        <f>ABS(AK9-AJ9)</f>
        <v>8.8485134312568103E-3</v>
      </c>
      <c r="AI10" s="3">
        <f>ABS(AJ9-AK8)</f>
        <v>1.0910368810010729E-2</v>
      </c>
      <c r="AJ10" s="3">
        <f>ABS(AD9-AJ9)</f>
        <v>1.3777401735010741E-2</v>
      </c>
      <c r="AK10" s="21">
        <f>ABS(AJ10-AH10)</f>
        <v>4.9288883037539311E-3</v>
      </c>
      <c r="AL10" s="22">
        <f>IF(AK10&gt;AI10,AK9,AI11)</f>
        <v>1.3458452117837418</v>
      </c>
      <c r="AM10" s="23">
        <f>(AK9+AK10)</f>
        <v>1.3403629670750001</v>
      </c>
      <c r="AN10" s="24">
        <f>(AK8+AK9+AJ9+AK10*3)/3</f>
        <v>1.338100747724166</v>
      </c>
      <c r="AO10" s="3"/>
      <c r="AP10" s="3"/>
      <c r="AQ10" s="3"/>
      <c r="AR10" s="3"/>
      <c r="AS10" s="3"/>
      <c r="AT10" s="3"/>
      <c r="AU10" s="3"/>
      <c r="AV10" s="3"/>
      <c r="AW10" s="3"/>
      <c r="AX10" s="16">
        <f>D24</f>
        <v>131985</v>
      </c>
      <c r="AY10" s="17">
        <f>D25</f>
        <v>131879</v>
      </c>
      <c r="AZ10" s="18">
        <f>D26</f>
        <v>132102</v>
      </c>
      <c r="BA10" s="19">
        <v>1E-3</v>
      </c>
      <c r="BB10" s="20">
        <f>ABS(BE9-BD9)</f>
        <v>0.25787101976607119</v>
      </c>
      <c r="BC10" s="3">
        <f>ABS(BD9-BE8)</f>
        <v>0.32240763162570829</v>
      </c>
      <c r="BD10" s="3">
        <f>ABS(AX9-BD9)</f>
        <v>0.40802388162569514</v>
      </c>
      <c r="BE10" s="21">
        <f>ABS(BD10-BB10)</f>
        <v>0.15015286185962395</v>
      </c>
      <c r="BF10" s="22">
        <f>IF(BE10&gt;BC10,BE9,BC11)</f>
        <v>132.76735350939896</v>
      </c>
      <c r="BG10" s="23">
        <f>(BE9+BE10)</f>
        <v>132.01638374999999</v>
      </c>
      <c r="BH10" s="24">
        <f>(BE8+BE9+BD9+BE10*3)/3</f>
        <v>131.95193894736451</v>
      </c>
      <c r="BI10" s="3"/>
      <c r="BJ10" s="3"/>
      <c r="BK10" s="3"/>
      <c r="BL10" s="3"/>
      <c r="BM10" s="3"/>
      <c r="BN10" s="3"/>
      <c r="BO10" s="3"/>
      <c r="BP10" s="3"/>
      <c r="BQ10" s="3"/>
      <c r="BR10" s="7"/>
      <c r="BS10" s="7"/>
      <c r="BT10" s="7"/>
      <c r="BU10" s="7"/>
      <c r="BV10" s="7"/>
      <c r="BW10" s="7"/>
      <c r="BX10" s="7"/>
      <c r="BY10" s="797"/>
      <c r="BZ10" s="797"/>
      <c r="CA10" s="797"/>
      <c r="CB10" s="795">
        <f>(CI9+CD9)/2</f>
        <v>171.80427950000001</v>
      </c>
      <c r="CC10" s="769">
        <f>CR9/3</f>
        <v>3.472222222222222E-3</v>
      </c>
      <c r="CD10" s="769">
        <f>CC10/2</f>
        <v>1.736111111111111E-3</v>
      </c>
      <c r="CE10" s="774">
        <f>CD10/2</f>
        <v>8.6805555555555551E-4</v>
      </c>
      <c r="CF10" s="775">
        <v>1</v>
      </c>
      <c r="CG10" s="769">
        <f>(CG9+CF9)^0.5</f>
        <v>1.3243421008183609</v>
      </c>
      <c r="CH10" s="776">
        <f>(CI9)*((CG10-CD10-CE10)^(CC10-CD10))</f>
        <v>171.29049213275667</v>
      </c>
      <c r="CI10" s="777">
        <f>(CD9+CB9+CH10+CU9)/4</f>
        <v>171.90837942478376</v>
      </c>
      <c r="CJ10" s="778">
        <f>(CF9-CG9-CE9)/CI12</f>
        <v>-343.62880000000001</v>
      </c>
      <c r="CK10" s="778">
        <f>(CE9-CF9-CG9)/CI12</f>
        <v>342.41511800000006</v>
      </c>
      <c r="CL10" s="778">
        <f>(CG9+CF9-CE9)/CI12</f>
        <v>-342.41511800000006</v>
      </c>
      <c r="CM10" s="778">
        <f>(CG9+CE9-CF9)/CI12</f>
        <v>343.62880000000001</v>
      </c>
      <c r="CN10" s="779"/>
      <c r="CO10" s="769"/>
      <c r="CP10" s="769"/>
      <c r="CQ10" s="769"/>
      <c r="CR10" s="769"/>
      <c r="CS10" s="769"/>
      <c r="CT10" s="769"/>
      <c r="CU10" s="780">
        <f>(CI9+CU9)/2</f>
        <v>171.22829228318921</v>
      </c>
    </row>
    <row r="11" spans="1:99" ht="15.75" thickBot="1" x14ac:dyDescent="0.3">
      <c r="A11" s="766">
        <f>(B11+B10)/2</f>
        <v>133324.69029718253</v>
      </c>
      <c r="B11" s="764">
        <f>(D20+D19)/2</f>
        <v>133083.26797720802</v>
      </c>
      <c r="C11" s="757">
        <f>(D17-D18)</f>
        <v>1290.4963181730709</v>
      </c>
      <c r="D11" s="757">
        <f>(D19-D20)</f>
        <v>965.6892798980407</v>
      </c>
      <c r="E11" s="762">
        <f>(F11+F10)/2</f>
        <v>165447.92655438965</v>
      </c>
      <c r="F11" s="765">
        <f>(H20+H19)/2</f>
        <v>165261.50550798693</v>
      </c>
      <c r="G11" s="758">
        <f>(H17-H18)</f>
        <v>973.18669266364304</v>
      </c>
      <c r="H11" s="757">
        <f>(H19-H20)</f>
        <v>745.68418561088038</v>
      </c>
      <c r="I11" s="7"/>
      <c r="J11" s="7"/>
      <c r="K11" s="7"/>
      <c r="L11" s="7"/>
      <c r="M11" s="7"/>
      <c r="N11" s="7"/>
      <c r="O11" s="7"/>
      <c r="P11" s="762">
        <f>(Q11+Q10)/2</f>
        <v>172319.00802268821</v>
      </c>
      <c r="Q11" s="765">
        <f>(S20+S19)/2</f>
        <v>172223.26790667776</v>
      </c>
      <c r="R11" s="757">
        <f>(S17-S18)</f>
        <v>368.39431766935741</v>
      </c>
      <c r="S11" s="757">
        <f>(S19-S20)</f>
        <v>382.96046404173831</v>
      </c>
      <c r="T11" s="762">
        <f>(U11+U10)/2</f>
        <v>137377.0453612594</v>
      </c>
      <c r="U11" s="765">
        <f>(W20+W19)/2</f>
        <v>137166.24881128047</v>
      </c>
      <c r="V11" s="755">
        <f>(W17-W18)</f>
        <v>1599.6917625097267</v>
      </c>
      <c r="W11" s="755">
        <f>(W19-W20)</f>
        <v>843.18619991568266</v>
      </c>
      <c r="X11" s="7"/>
      <c r="Y11" s="7"/>
      <c r="Z11" s="7"/>
      <c r="AA11" s="7"/>
      <c r="AB11" s="7"/>
      <c r="AC11" s="7"/>
      <c r="AD11" s="3">
        <f>(AF8+AM10+AN10)/3</f>
        <v>1.3405645715997221</v>
      </c>
      <c r="AE11" s="26">
        <f>INT(AK9^0.5)</f>
        <v>1</v>
      </c>
      <c r="AF11" s="3">
        <f>((AE11*AG11+AH11/360)^2+AE11^2)/2</f>
        <v>0.5280640184019717</v>
      </c>
      <c r="AG11" s="3">
        <v>0.1</v>
      </c>
      <c r="AH11" s="27">
        <f>AK10*10000</f>
        <v>49.288883037539307</v>
      </c>
      <c r="AI11" s="28">
        <f>(AD11+(AF11/100))</f>
        <v>1.3458452117837418</v>
      </c>
      <c r="AJ11" s="2"/>
      <c r="AK11" s="2"/>
      <c r="AL11" s="34" t="str">
        <f>IF(AK10&gt;AI10,"sell","buy")</f>
        <v>buy</v>
      </c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>
        <f>(AZ8+BG10+BH10)/3</f>
        <v>132.02344089912151</v>
      </c>
      <c r="AY11" s="26">
        <f>INT(BE9^0.5)</f>
        <v>11</v>
      </c>
      <c r="AZ11" s="3">
        <f>((AY11*BA11+BB11/360)^2+AY11^2)/2</f>
        <v>74.391261027745955</v>
      </c>
      <c r="BA11" s="3">
        <v>0.1</v>
      </c>
      <c r="BB11" s="27">
        <f>BE10*10000</f>
        <v>1501.5286185962395</v>
      </c>
      <c r="BC11" s="28">
        <f>(AX11+(AZ11/100))</f>
        <v>132.76735350939896</v>
      </c>
      <c r="BD11" s="2"/>
      <c r="BE11" s="2"/>
      <c r="BF11" s="34" t="str">
        <f>IF(BE10&gt;BC10,"sell","buy")</f>
        <v>buy</v>
      </c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7"/>
      <c r="BS11" s="7"/>
      <c r="BT11" s="7"/>
      <c r="BU11" s="7"/>
      <c r="BV11" s="7"/>
      <c r="BW11" s="7"/>
      <c r="BX11" s="7"/>
      <c r="BY11" s="797"/>
      <c r="BZ11" s="797"/>
      <c r="CA11" s="797" t="s">
        <v>5</v>
      </c>
      <c r="CB11" s="781">
        <f>P20</f>
        <v>172693</v>
      </c>
      <c r="CC11" s="52">
        <f>Q22</f>
        <v>171622</v>
      </c>
      <c r="CD11" s="49">
        <f>P24</f>
        <v>172401</v>
      </c>
      <c r="CE11" s="782">
        <v>1E-3</v>
      </c>
      <c r="CF11" s="783">
        <f>ABS(CI10-CH10)</f>
        <v>0.61788729202709192</v>
      </c>
      <c r="CG11" s="769">
        <f>ABS(CH10-CI9)</f>
        <v>8.2933132756636496E-2</v>
      </c>
      <c r="CH11" s="769">
        <f>ABS(CB10-CH10)</f>
        <v>0.51378736724333862</v>
      </c>
      <c r="CI11" s="784">
        <f>ABS(CH11-CF11)</f>
        <v>0.10409992478375329</v>
      </c>
      <c r="CJ11" s="785">
        <f>IF(CI11&gt;CG11,CI10,CG12)</f>
        <v>171.90837942478376</v>
      </c>
      <c r="CK11" s="786">
        <f>(CI10+CI11)</f>
        <v>172.01247934956751</v>
      </c>
      <c r="CL11" s="786">
        <f>(CI9+CI10+CH10+CI11*3)/3</f>
        <v>171.57291011063057</v>
      </c>
      <c r="CM11" s="787">
        <f>(CM12+CL12+CN12)/3</f>
        <v>2493881.2822023383</v>
      </c>
      <c r="CN11" s="787">
        <f>(CN12+CL12)/2</f>
        <v>3175527.5402009944</v>
      </c>
      <c r="CO11" s="769"/>
      <c r="CP11" s="769"/>
      <c r="CQ11" s="769"/>
      <c r="CR11" s="769"/>
      <c r="CS11" s="769"/>
      <c r="CT11" s="769"/>
      <c r="CU11" s="769"/>
    </row>
    <row r="12" spans="1:99" ht="15.75" thickBot="1" x14ac:dyDescent="0.3">
      <c r="A12" s="35" t="s">
        <v>0</v>
      </c>
      <c r="B12" s="35" t="s">
        <v>1</v>
      </c>
      <c r="C12" s="36" t="s">
        <v>2</v>
      </c>
      <c r="D12" s="36" t="s">
        <v>3</v>
      </c>
      <c r="E12" s="37" t="s">
        <v>4</v>
      </c>
      <c r="F12" s="37" t="s">
        <v>1</v>
      </c>
      <c r="G12" s="38" t="s">
        <v>2</v>
      </c>
      <c r="H12" s="38" t="s">
        <v>3</v>
      </c>
      <c r="P12" s="35" t="s">
        <v>5</v>
      </c>
      <c r="Q12" s="35" t="s">
        <v>1</v>
      </c>
      <c r="R12" s="36" t="s">
        <v>2</v>
      </c>
      <c r="S12" s="36" t="s">
        <v>3</v>
      </c>
      <c r="T12" s="37" t="s">
        <v>6</v>
      </c>
      <c r="U12" s="37" t="s">
        <v>1</v>
      </c>
      <c r="V12" s="38" t="s">
        <v>2</v>
      </c>
      <c r="W12" s="38" t="s">
        <v>3</v>
      </c>
      <c r="AD12" s="29">
        <f>AD14*AG14</f>
        <v>1.6597300000000001</v>
      </c>
      <c r="AE12" s="30">
        <f>AE14*AG14</f>
        <v>1.6560500000000002</v>
      </c>
      <c r="AF12" s="30">
        <f>AF14*AG14</f>
        <v>1.6602700000000001</v>
      </c>
      <c r="AG12" s="3">
        <f>((AD12+AE12)/2)+((AE12+AF12)/2)</f>
        <v>3.3160500000000002</v>
      </c>
      <c r="AH12" s="3">
        <f>(AD12-AE12)^2</f>
        <v>1.3542399999999305E-5</v>
      </c>
      <c r="AI12" s="3">
        <f>(AF12-AE12)^2</f>
        <v>1.7808399999999076E-5</v>
      </c>
      <c r="AJ12" s="4">
        <f>AM13</f>
        <v>3.3160186492000001</v>
      </c>
      <c r="AK12" s="5">
        <f>(AJ12/2)</f>
        <v>1.6580093246000001</v>
      </c>
      <c r="AL12" s="3">
        <f>(AD12/AE12)</f>
        <v>1.0022221551281663</v>
      </c>
      <c r="AM12" s="3">
        <f>(AF12/AE12)</f>
        <v>1.0025482322393646</v>
      </c>
      <c r="AN12" s="3">
        <f>AL12^0.5</f>
        <v>1.0011104610022643</v>
      </c>
      <c r="AO12" s="3">
        <f>AM12^0.5</f>
        <v>1.001273305466277</v>
      </c>
      <c r="AP12" s="3">
        <f>INT(AN12)-AH13</f>
        <v>0</v>
      </c>
      <c r="AQ12" s="3">
        <f>INT(AO12)-AH13</f>
        <v>0</v>
      </c>
      <c r="AR12" s="3">
        <f>(AP12+45/360)^2</f>
        <v>1.5625E-2</v>
      </c>
      <c r="AS12" s="3">
        <f>(AQ12+45/360)^2</f>
        <v>1.5625E-2</v>
      </c>
      <c r="AT12" s="3">
        <f>(AR12+AS12)/3</f>
        <v>1.0416666666666666E-2</v>
      </c>
      <c r="AU12" s="3">
        <f>(AT12*4)</f>
        <v>4.1666666666666664E-2</v>
      </c>
      <c r="AV12" s="3">
        <f>AU12/3</f>
        <v>1.3888888888888888E-2</v>
      </c>
      <c r="AW12" s="31">
        <f>(AJ13+AK12)/2</f>
        <v>1.6496881973606214</v>
      </c>
      <c r="AX12" s="29">
        <f>AX14*BA14</f>
        <v>165.839</v>
      </c>
      <c r="AY12" s="30">
        <f>AY14*BA14</f>
        <v>165.75800000000001</v>
      </c>
      <c r="AZ12" s="30">
        <f>AZ14*BA14</f>
        <v>165.97300000000001</v>
      </c>
      <c r="BA12" s="3">
        <f>((AX12+AY12)/2)+((AY12+AZ12)/2)</f>
        <v>331.66399999999999</v>
      </c>
      <c r="BB12" s="3">
        <f>(AX12-AY12)^2</f>
        <v>6.560999999998195E-3</v>
      </c>
      <c r="BC12" s="3">
        <f>(AZ12-AY12)^2</f>
        <v>4.6225000000001466E-2</v>
      </c>
      <c r="BD12" s="4">
        <f>BG13</f>
        <v>331.61121400000002</v>
      </c>
      <c r="BE12" s="5">
        <f>(BD12/2)</f>
        <v>165.80560700000001</v>
      </c>
      <c r="BF12" s="3">
        <f>(AX12/AY12)</f>
        <v>1.0004886641972031</v>
      </c>
      <c r="BG12" s="3">
        <f>(AZ12/AY12)</f>
        <v>1.0012970716345515</v>
      </c>
      <c r="BH12" s="3">
        <f>BF12^0.5</f>
        <v>1.0002443022568053</v>
      </c>
      <c r="BI12" s="3">
        <f>BG12^0.5</f>
        <v>1.0006483256541987</v>
      </c>
      <c r="BJ12" s="3">
        <f>INT(BH12)-BB13</f>
        <v>0</v>
      </c>
      <c r="BK12" s="3">
        <f>INT(BI12)-BB13</f>
        <v>0</v>
      </c>
      <c r="BL12" s="3">
        <f>(BJ12+45/360)^2</f>
        <v>1.5625E-2</v>
      </c>
      <c r="BM12" s="3">
        <f>(BK12+45/360)^2</f>
        <v>1.5625E-2</v>
      </c>
      <c r="BN12" s="3">
        <f>(BL12+BM12)/3</f>
        <v>1.0416666666666666E-2</v>
      </c>
      <c r="BO12" s="3">
        <f>(BN12*4)</f>
        <v>4.1666666666666664E-2</v>
      </c>
      <c r="BP12" s="3">
        <f>BO12/3</f>
        <v>1.3888888888888888E-2</v>
      </c>
      <c r="BQ12" s="31">
        <f>(BD13+BE12)/2</f>
        <v>165.59255704918226</v>
      </c>
      <c r="BR12" s="7"/>
      <c r="BS12" s="7"/>
      <c r="BT12" s="7"/>
      <c r="BU12" s="7"/>
      <c r="BV12" s="7"/>
      <c r="BW12" s="7"/>
      <c r="BX12" s="7"/>
      <c r="BY12" s="797"/>
      <c r="BZ12" s="797"/>
      <c r="CA12" s="797"/>
      <c r="CB12" s="769">
        <f>(CD9+CK11+CL11)/3</f>
        <v>171.99546315339936</v>
      </c>
      <c r="CC12" s="788">
        <f>INT(CI10^0.5)</f>
        <v>13</v>
      </c>
      <c r="CD12" s="769">
        <f>((CC12*CE12+CF12/360)^2+CC12^2)/2</f>
        <v>93.285025964406785</v>
      </c>
      <c r="CE12" s="769">
        <v>0.1</v>
      </c>
      <c r="CF12" s="789">
        <f>CI11*10000</f>
        <v>1040.9992478375329</v>
      </c>
      <c r="CG12" s="790">
        <f>(CB12+(CD12/100))</f>
        <v>172.92831341304341</v>
      </c>
      <c r="CH12" s="791">
        <f>(CJ11-CI11*CF12/100)</f>
        <v>170.82469999078546</v>
      </c>
      <c r="CI12" s="792">
        <v>1</v>
      </c>
      <c r="CJ12" s="793" t="str">
        <f>IF(CI11&gt;CG11,"sell","buy")</f>
        <v>sell</v>
      </c>
      <c r="CK12" s="794">
        <f>(CD11+CJ11)</f>
        <v>172572.90837942477</v>
      </c>
      <c r="CL12" s="787">
        <f>(CD11+CC11+CB11+CI11)/CI11</f>
        <v>4963654.9226457058</v>
      </c>
      <c r="CM12" s="787">
        <f>(CD11+CC11+CB11+CL12+CK12)/5</f>
        <v>1130588.7662050261</v>
      </c>
      <c r="CN12" s="787">
        <f>(CM12+((CK12+CL12)/20))</f>
        <v>1387400.1577562825</v>
      </c>
      <c r="CO12" s="769"/>
      <c r="CP12" s="769"/>
      <c r="CQ12" s="769"/>
      <c r="CR12" s="769"/>
      <c r="CS12" s="769"/>
      <c r="CT12" s="769"/>
      <c r="CU12" s="769"/>
    </row>
    <row r="13" spans="1:99" ht="15.75" thickBot="1" x14ac:dyDescent="0.3">
      <c r="A13" s="39" t="str">
        <f>IF(M34&gt;M35,"long","short")</f>
        <v>long</v>
      </c>
      <c r="B13" s="39" t="s">
        <v>7</v>
      </c>
      <c r="C13" s="40">
        <f>J33</f>
        <v>0.80000000000291038</v>
      </c>
      <c r="D13" s="36">
        <v>-40216</v>
      </c>
      <c r="E13" s="41" t="str">
        <f>IF(AY34&gt;AY35,"long","short")</f>
        <v>long</v>
      </c>
      <c r="F13" s="42" t="s">
        <v>7</v>
      </c>
      <c r="G13" s="43">
        <f>AV33</f>
        <v>0.5</v>
      </c>
      <c r="H13" s="38">
        <v>-49894</v>
      </c>
      <c r="P13" s="39" t="str">
        <f>IF(M256&gt;M257,"long","short")</f>
        <v>short</v>
      </c>
      <c r="Q13" s="39" t="s">
        <v>7</v>
      </c>
      <c r="R13" s="40">
        <f>J255</f>
        <v>0.40000000000145519</v>
      </c>
      <c r="S13" s="36">
        <v>-51492</v>
      </c>
      <c r="T13" s="41" t="str">
        <f>IF(AY256&gt;AY257,"long","short")</f>
        <v>long</v>
      </c>
      <c r="U13" s="42" t="s">
        <v>7</v>
      </c>
      <c r="V13" s="43">
        <f>AV255</f>
        <v>1</v>
      </c>
      <c r="W13" s="38">
        <v>-41211</v>
      </c>
      <c r="AD13" s="8">
        <f>(AK12+AF12)/2</f>
        <v>1.6591396623000001</v>
      </c>
      <c r="AE13" s="3">
        <f>AT12/3</f>
        <v>3.472222222222222E-3</v>
      </c>
      <c r="AF13" s="3">
        <f>AE13/2</f>
        <v>1.736111111111111E-3</v>
      </c>
      <c r="AG13" s="9">
        <f>AF13/2</f>
        <v>8.6805555555555551E-4</v>
      </c>
      <c r="AH13" s="10">
        <v>1</v>
      </c>
      <c r="AI13" s="3">
        <f>(AI12+AH12)^0.5</f>
        <v>5.5991785111745079E-3</v>
      </c>
      <c r="AJ13" s="11">
        <f>(AK12)*((AI13-AF13-AG13)^(AE13-AF13))</f>
        <v>1.6413670701212428</v>
      </c>
      <c r="AK13" s="12">
        <f>(AF12+AD12+AJ13+AW12)/4</f>
        <v>1.6527638168704661</v>
      </c>
      <c r="AL13" s="13">
        <f>AH12-AI12-AG12</f>
        <v>-3.3160542660000001</v>
      </c>
      <c r="AM13" s="13">
        <f>AG12-AH12-AI12</f>
        <v>3.3160186492000001</v>
      </c>
      <c r="AN13" s="13">
        <f>AI12+AH12-AG12</f>
        <v>-3.3160186492000001</v>
      </c>
      <c r="AO13" s="13">
        <f>AI12+AG12-AH12</f>
        <v>3.3160542660000001</v>
      </c>
      <c r="AP13" s="14"/>
      <c r="AQ13" s="3"/>
      <c r="AR13" s="3"/>
      <c r="AS13" s="3"/>
      <c r="AT13" s="3"/>
      <c r="AU13" s="3"/>
      <c r="AV13" s="3"/>
      <c r="AW13" s="15">
        <f>(AK12+AW12)/2</f>
        <v>1.6538487609803108</v>
      </c>
      <c r="AX13" s="8">
        <f>(BE12+AZ12)/2</f>
        <v>165.88930350000001</v>
      </c>
      <c r="AY13" s="3">
        <f>BN12/3</f>
        <v>3.472222222222222E-3</v>
      </c>
      <c r="AZ13" s="3">
        <f>AY13/2</f>
        <v>1.736111111111111E-3</v>
      </c>
      <c r="BA13" s="9">
        <f>AZ13/2</f>
        <v>8.6805555555555551E-4</v>
      </c>
      <c r="BB13" s="10">
        <v>1</v>
      </c>
      <c r="BC13" s="3">
        <f>(BC12+BB12)^0.5</f>
        <v>0.22975204025209364</v>
      </c>
      <c r="BD13" s="11">
        <f>(BE12)*((BC13-AZ13-BA13)^(AY13-AZ13))</f>
        <v>165.37950709836451</v>
      </c>
      <c r="BE13" s="12">
        <f>(AZ12+AX12+BD13+BQ12)/4</f>
        <v>165.6960160368867</v>
      </c>
      <c r="BF13" s="13">
        <f>BB12-BC12-BA12</f>
        <v>-331.703664</v>
      </c>
      <c r="BG13" s="13">
        <f>BA12-BB12-BC12</f>
        <v>331.61121400000002</v>
      </c>
      <c r="BH13" s="13">
        <f>BC12+BB12-BA12</f>
        <v>-331.61121399999996</v>
      </c>
      <c r="BI13" s="13">
        <f>BC12+BA12-BB12</f>
        <v>331.703664</v>
      </c>
      <c r="BJ13" s="14"/>
      <c r="BK13" s="3"/>
      <c r="BL13" s="3"/>
      <c r="BM13" s="3"/>
      <c r="BN13" s="3"/>
      <c r="BO13" s="3"/>
      <c r="BP13" s="3"/>
      <c r="BQ13" s="15">
        <f>(BE12+BQ12)/2</f>
        <v>165.69908202459112</v>
      </c>
      <c r="BR13" s="7"/>
      <c r="BS13" s="7"/>
      <c r="BT13" s="7"/>
      <c r="BU13" s="7"/>
      <c r="BV13" s="7"/>
      <c r="BW13" s="7"/>
      <c r="BX13" s="7"/>
      <c r="BY13" s="797"/>
      <c r="BZ13" s="797"/>
      <c r="CA13" s="797"/>
      <c r="CB13" s="767">
        <f>CB15*CE15</f>
        <v>137.69900000000001</v>
      </c>
      <c r="CC13" s="768">
        <f>CC15*CE15</f>
        <v>137.34399999999999</v>
      </c>
      <c r="CD13" s="768">
        <f>CD15*CE15</f>
        <v>137.97399999999999</v>
      </c>
      <c r="CE13" s="769">
        <f>((CB13+CC13)/2)+((CC13+CD13)/2)</f>
        <v>275.18049999999999</v>
      </c>
      <c r="CF13" s="769">
        <f>(CB13-CC13)^2</f>
        <v>0.1260250000000129</v>
      </c>
      <c r="CG13" s="769">
        <f>(CD13-CC13)^2</f>
        <v>0.39689999999999426</v>
      </c>
      <c r="CH13" s="770">
        <f>CK14</f>
        <v>274.65757499999995</v>
      </c>
      <c r="CI13" s="771">
        <f>(CH13/2)</f>
        <v>137.32878749999998</v>
      </c>
      <c r="CJ13" s="769">
        <f>(CB13/CC13)</f>
        <v>1.0025847506989749</v>
      </c>
      <c r="CK13" s="769">
        <f>(CD13/CC13)</f>
        <v>1.0045870223671947</v>
      </c>
      <c r="CL13" s="769">
        <f>CJ13^0.5</f>
        <v>1.0012915413100096</v>
      </c>
      <c r="CM13" s="769">
        <f>CK13^0.5</f>
        <v>1.0022908871017409</v>
      </c>
      <c r="CN13" s="769">
        <f>INT(CL13)-CF14</f>
        <v>0</v>
      </c>
      <c r="CO13" s="769">
        <f>INT(CM13)-CF14</f>
        <v>0</v>
      </c>
      <c r="CP13" s="769">
        <f>(CN13+45/360)^2</f>
        <v>1.5625E-2</v>
      </c>
      <c r="CQ13" s="769">
        <f>(CO13+45/360)^2</f>
        <v>1.5625E-2</v>
      </c>
      <c r="CR13" s="769">
        <f>(CP13+CQ13)/3</f>
        <v>1.0416666666666666E-2</v>
      </c>
      <c r="CS13" s="769">
        <f>(CR13*4)</f>
        <v>4.1666666666666664E-2</v>
      </c>
      <c r="CT13" s="769">
        <f>CS13/3</f>
        <v>1.3888888888888888E-2</v>
      </c>
      <c r="CU13" s="772">
        <f>(CH14+CI13)/2</f>
        <v>137.28972591291185</v>
      </c>
    </row>
    <row r="14" spans="1:99" x14ac:dyDescent="0.25">
      <c r="A14" s="44" t="str">
        <f>M32</f>
        <v>Long</v>
      </c>
      <c r="B14" s="39" t="s">
        <v>8</v>
      </c>
      <c r="C14" s="40">
        <f>J34</f>
        <v>0.5</v>
      </c>
      <c r="D14" s="36">
        <v>-39928</v>
      </c>
      <c r="E14" s="41" t="str">
        <f>AY32</f>
        <v>Long</v>
      </c>
      <c r="F14" s="42" t="s">
        <v>9</v>
      </c>
      <c r="G14" s="43">
        <f>AV34</f>
        <v>0.20000000000436557</v>
      </c>
      <c r="H14" s="38">
        <v>-49699</v>
      </c>
      <c r="P14" s="44" t="str">
        <f>M254</f>
        <v>Short</v>
      </c>
      <c r="Q14" s="39" t="s">
        <v>8</v>
      </c>
      <c r="R14" s="40">
        <f>J256</f>
        <v>0.30000000000291038</v>
      </c>
      <c r="S14" s="36">
        <v>-51749</v>
      </c>
      <c r="T14" s="41" t="str">
        <f>AY254</f>
        <v>Short</v>
      </c>
      <c r="U14" s="42" t="s">
        <v>9</v>
      </c>
      <c r="V14" s="43">
        <f>AV256</f>
        <v>0.34999999999854481</v>
      </c>
      <c r="W14" s="38">
        <v>-41236</v>
      </c>
      <c r="AD14" s="16">
        <f>E20</f>
        <v>165973</v>
      </c>
      <c r="AE14" s="17">
        <f>F22</f>
        <v>165605</v>
      </c>
      <c r="AF14" s="18">
        <f>E24</f>
        <v>166027</v>
      </c>
      <c r="AG14" s="19">
        <v>1.0000000000000001E-5</v>
      </c>
      <c r="AH14" s="20">
        <f>ABS(AK13-AJ13)</f>
        <v>1.1396746749223308E-2</v>
      </c>
      <c r="AI14" s="3">
        <f>ABS(AJ13-AK12)</f>
        <v>1.6642254478757224E-2</v>
      </c>
      <c r="AJ14" s="3">
        <f>ABS(AD13-AJ13)</f>
        <v>1.7772592178757263E-2</v>
      </c>
      <c r="AK14" s="21">
        <f>ABS(AJ14-AH14)</f>
        <v>6.3758454295339551E-3</v>
      </c>
      <c r="AL14" s="22">
        <f>IF(AK14&gt;AI14,AK13,AI15)</f>
        <v>1.6642169114726348</v>
      </c>
      <c r="AM14" s="23">
        <f>(AK13+AK14)</f>
        <v>1.6591396623000001</v>
      </c>
      <c r="AN14" s="24">
        <f>(AK12+AK13+AJ13+AK14*3)/3</f>
        <v>1.6570892492934373</v>
      </c>
      <c r="AO14" s="3"/>
      <c r="AP14" s="3"/>
      <c r="AQ14" s="3"/>
      <c r="AR14" s="3"/>
      <c r="AS14" s="3"/>
      <c r="AT14" s="3"/>
      <c r="AU14" s="3"/>
      <c r="AV14" s="3"/>
      <c r="AW14" s="3"/>
      <c r="AX14" s="16">
        <f>H24</f>
        <v>165839</v>
      </c>
      <c r="AY14" s="17">
        <f>H25</f>
        <v>165758</v>
      </c>
      <c r="AZ14" s="18">
        <f>H26</f>
        <v>165973</v>
      </c>
      <c r="BA14" s="19">
        <v>1E-3</v>
      </c>
      <c r="BB14" s="20">
        <f>ABS(BE13-BD13)</f>
        <v>0.31650893852219042</v>
      </c>
      <c r="BC14" s="3">
        <f>ABS(BD13-BE12)</f>
        <v>0.42609990163549583</v>
      </c>
      <c r="BD14" s="3">
        <f>ABS(AX13-BD13)</f>
        <v>0.50979640163549789</v>
      </c>
      <c r="BE14" s="21">
        <f>ABS(BD14-BB14)</f>
        <v>0.19328746311330747</v>
      </c>
      <c r="BF14" s="22">
        <f>IF(BE14&gt;BC14,BE13,BC15)</f>
        <v>166.82997657144287</v>
      </c>
      <c r="BG14" s="23">
        <f>(BE13+BE14)</f>
        <v>165.88930350000001</v>
      </c>
      <c r="BH14" s="24">
        <f>(BE12+BE13+BD13+BE14*3)/3</f>
        <v>165.82033084153036</v>
      </c>
      <c r="BI14" s="3"/>
      <c r="BJ14" s="3"/>
      <c r="BK14" s="3"/>
      <c r="BL14" s="3"/>
      <c r="BM14" s="3"/>
      <c r="BN14" s="3"/>
      <c r="BO14" s="3"/>
      <c r="BP14" s="3"/>
      <c r="BQ14" s="3"/>
      <c r="BR14" s="7"/>
      <c r="BS14" s="7"/>
      <c r="BT14" s="7"/>
      <c r="BU14" s="7"/>
      <c r="BV14" s="7"/>
      <c r="BW14" s="7"/>
      <c r="BX14" s="7"/>
      <c r="BY14" s="797"/>
      <c r="BZ14" s="797"/>
      <c r="CA14" s="797"/>
      <c r="CB14" s="795">
        <f>(CI13+CD13)/2</f>
        <v>137.65139374999998</v>
      </c>
      <c r="CC14" s="769">
        <f>CR13/3</f>
        <v>3.472222222222222E-3</v>
      </c>
      <c r="CD14" s="769">
        <f>CC14/2</f>
        <v>1.736111111111111E-3</v>
      </c>
      <c r="CE14" s="774">
        <f>CD14/2</f>
        <v>8.6805555555555551E-4</v>
      </c>
      <c r="CF14" s="775">
        <v>1</v>
      </c>
      <c r="CG14" s="769">
        <f>(CG13+CF13)^0.5</f>
        <v>0.72313553363114935</v>
      </c>
      <c r="CH14" s="776">
        <f>(CI13)*((CG14-CD14-CE14)^(CC14-CD14))</f>
        <v>137.25066432582372</v>
      </c>
      <c r="CI14" s="777">
        <f>(CD13+CB13+CH14+CU13)/4</f>
        <v>137.55334755968389</v>
      </c>
      <c r="CJ14" s="778">
        <f>(CF13-CG13-CE13)/CI16</f>
        <v>-275.45137499999998</v>
      </c>
      <c r="CK14" s="778">
        <f>(CE13-CF13-CG13)/CI16</f>
        <v>274.65757499999995</v>
      </c>
      <c r="CL14" s="778">
        <f>(CG13+CF13-CE13)/CI16</f>
        <v>-274.65757500000001</v>
      </c>
      <c r="CM14" s="778">
        <f>(CG13+CE13-CF13)/CI16</f>
        <v>275.45137499999998</v>
      </c>
      <c r="CN14" s="779"/>
      <c r="CO14" s="769"/>
      <c r="CP14" s="769"/>
      <c r="CQ14" s="769"/>
      <c r="CR14" s="769"/>
      <c r="CS14" s="769"/>
      <c r="CT14" s="769"/>
      <c r="CU14" s="780">
        <f>(CI13+CU13)/2</f>
        <v>137.30925670645593</v>
      </c>
    </row>
    <row r="15" spans="1:99" ht="15.75" thickBot="1" x14ac:dyDescent="0.3">
      <c r="A15" s="39" t="str">
        <f>P37</f>
        <v>short</v>
      </c>
      <c r="B15" s="39" t="s">
        <v>7</v>
      </c>
      <c r="C15" s="40">
        <f>J35</f>
        <v>0.87113051470078062</v>
      </c>
      <c r="D15" s="36">
        <v>-40031</v>
      </c>
      <c r="E15" s="42" t="str">
        <f>BB37</f>
        <v>short</v>
      </c>
      <c r="F15" s="42" t="s">
        <v>7</v>
      </c>
      <c r="G15" s="43">
        <f>AV35</f>
        <v>0.82622112536773784</v>
      </c>
      <c r="H15" s="38">
        <v>-49724</v>
      </c>
      <c r="P15" s="39" t="str">
        <f>P259</f>
        <v>short</v>
      </c>
      <c r="Q15" s="39" t="s">
        <v>7</v>
      </c>
      <c r="R15" s="40">
        <f>J257</f>
        <v>0.38934085091750603</v>
      </c>
      <c r="S15" s="36">
        <v>-51706</v>
      </c>
      <c r="T15" s="42" t="str">
        <f>BB259</f>
        <v>long</v>
      </c>
      <c r="U15" s="42" t="s">
        <v>7</v>
      </c>
      <c r="V15" s="43">
        <f>AV257</f>
        <v>0.74609346763463691</v>
      </c>
      <c r="W15" s="38">
        <v>-41203</v>
      </c>
      <c r="AD15" s="3">
        <f>(AF12+AM14+AN14)/3</f>
        <v>1.6588329705311458</v>
      </c>
      <c r="AE15" s="26">
        <f>INT(AK13^0.5)</f>
        <v>1</v>
      </c>
      <c r="AF15" s="3">
        <f>((AE15*AG15+AH15/360)^2+AE15^2)/2</f>
        <v>0.53839409414890183</v>
      </c>
      <c r="AG15" s="3">
        <v>0.1</v>
      </c>
      <c r="AH15" s="27">
        <f>AK14*10000</f>
        <v>63.758454295339547</v>
      </c>
      <c r="AI15" s="28">
        <f>(AD15+(AF15/100))</f>
        <v>1.6642169114726348</v>
      </c>
      <c r="AJ15" s="2"/>
      <c r="AK15" s="2"/>
      <c r="AL15" s="34" t="str">
        <f>IF(AK14&gt;AI14,"sell","buy")</f>
        <v>buy</v>
      </c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>
        <f>(AZ12+BG14+BH14)/3</f>
        <v>165.89421144717679</v>
      </c>
      <c r="AY15" s="26">
        <f>INT(BE13^0.5)</f>
        <v>12</v>
      </c>
      <c r="AZ15" s="3">
        <f>((AY15*BA15+BB15/360)^2+AY15^2)/2</f>
        <v>93.576512426608019</v>
      </c>
      <c r="BA15" s="3">
        <v>0.1</v>
      </c>
      <c r="BB15" s="27">
        <f>BE14*10000</f>
        <v>1932.8746311330747</v>
      </c>
      <c r="BC15" s="28">
        <f>(AX15+(AZ15/100))</f>
        <v>166.82997657144287</v>
      </c>
      <c r="BD15" s="2"/>
      <c r="BE15" s="2"/>
      <c r="BF15" s="34" t="str">
        <f>IF(BE14&gt;BC14,"sell","buy")</f>
        <v>buy</v>
      </c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7"/>
      <c r="BS15" s="7"/>
      <c r="BT15" s="7"/>
      <c r="BU15" s="7"/>
      <c r="BV15" s="7"/>
      <c r="BW15" s="7"/>
      <c r="BX15" s="7"/>
      <c r="BY15" s="797"/>
      <c r="BZ15" s="797"/>
      <c r="CA15" s="797" t="s">
        <v>6</v>
      </c>
      <c r="CB15" s="781">
        <f>T20</f>
        <v>137699</v>
      </c>
      <c r="CC15" s="52">
        <f>U22</f>
        <v>137344</v>
      </c>
      <c r="CD15" s="49">
        <f>T24</f>
        <v>137974</v>
      </c>
      <c r="CE15" s="782">
        <v>1E-3</v>
      </c>
      <c r="CF15" s="783">
        <f>ABS(CI14-CH14)</f>
        <v>0.30268323386016505</v>
      </c>
      <c r="CG15" s="769">
        <f>ABS(CH14-CI13)</f>
        <v>7.8123174176255361E-2</v>
      </c>
      <c r="CH15" s="769">
        <f>ABS(CB14-CH14)</f>
        <v>0.40072942417626223</v>
      </c>
      <c r="CI15" s="784">
        <f>ABS(CH15-CF15)</f>
        <v>9.8046190316097181E-2</v>
      </c>
      <c r="CJ15" s="785">
        <f>IF(CI15&gt;CG15,CI14,CG16)</f>
        <v>137.55334755968389</v>
      </c>
      <c r="CK15" s="786">
        <f>(CI14+CI15)</f>
        <v>137.65139374999998</v>
      </c>
      <c r="CL15" s="786">
        <f>(CI13+CI14+CH14+CI15*3)/3</f>
        <v>137.47564598548527</v>
      </c>
      <c r="CM15" s="787">
        <f>(CM16+CL16+CN16)/3</f>
        <v>2111815.1140757841</v>
      </c>
      <c r="CN15" s="787">
        <f>(CN16+CL16)/2</f>
        <v>2691362.3438326474</v>
      </c>
      <c r="CO15" s="769"/>
      <c r="CP15" s="769"/>
      <c r="CQ15" s="769"/>
      <c r="CR15" s="769"/>
      <c r="CS15" s="769"/>
      <c r="CT15" s="769"/>
      <c r="CU15" s="769"/>
    </row>
    <row r="16" spans="1:99" ht="15.75" thickBot="1" x14ac:dyDescent="0.3">
      <c r="A16" s="45" t="str">
        <f>G42</f>
        <v>LONG</v>
      </c>
      <c r="B16" s="39" t="s">
        <v>10</v>
      </c>
      <c r="C16" s="40">
        <f>J36</f>
        <v>0.48711894914595177</v>
      </c>
      <c r="D16" s="36">
        <v>-39943</v>
      </c>
      <c r="E16" s="46" t="str">
        <f>AS42</f>
        <v>LONG</v>
      </c>
      <c r="F16" s="42" t="s">
        <v>10</v>
      </c>
      <c r="G16" s="43">
        <f>AV36</f>
        <v>0.51263691669737455</v>
      </c>
      <c r="H16" s="38">
        <v>-49670</v>
      </c>
      <c r="P16" s="45" t="str">
        <f>G264</f>
        <v>SHORT</v>
      </c>
      <c r="Q16" s="39" t="s">
        <v>10</v>
      </c>
      <c r="R16" s="40">
        <f>J258</f>
        <v>0.36952189382282086</v>
      </c>
      <c r="S16" s="36">
        <v>-51690</v>
      </c>
      <c r="T16" s="46" t="str">
        <f>AS264</f>
        <v>LONG</v>
      </c>
      <c r="U16" s="42" t="s">
        <v>10</v>
      </c>
      <c r="V16" s="43">
        <f>AV258</f>
        <v>0.70351169522473356</v>
      </c>
      <c r="W16" s="38">
        <v>-41248</v>
      </c>
      <c r="AD16" s="29">
        <f>AD18*AG18</f>
        <v>172.69300000000001</v>
      </c>
      <c r="AE16" s="30">
        <f>AE18*AG18</f>
        <v>171.62200000000001</v>
      </c>
      <c r="AF16" s="30">
        <f>AF18*AG18</f>
        <v>172.40100000000001</v>
      </c>
      <c r="AG16" s="3">
        <f>((AD16+AE16)/2)+((AE16+AF16)/2)</f>
        <v>344.16900000000004</v>
      </c>
      <c r="AH16" s="3">
        <f>(AD16-AE16)^2</f>
        <v>1.1470409999999955</v>
      </c>
      <c r="AI16" s="3">
        <f>(AF16-AE16)^2</f>
        <v>0.6068409999999943</v>
      </c>
      <c r="AJ16" s="4">
        <f>AM17</f>
        <v>342.41511800000006</v>
      </c>
      <c r="AK16" s="5">
        <f>(AJ16/2)</f>
        <v>171.20755900000003</v>
      </c>
      <c r="AL16" s="3">
        <f>(AD16/AE16)</f>
        <v>1.0062404586824534</v>
      </c>
      <c r="AM16" s="3">
        <f>(AF16/AE16)</f>
        <v>1.0045390451107667</v>
      </c>
      <c r="AN16" s="3">
        <f>AL16^0.5</f>
        <v>1.0031153765556848</v>
      </c>
      <c r="AO16" s="3">
        <f>AM16^0.5</f>
        <v>1.0022669530173918</v>
      </c>
      <c r="AP16" s="3">
        <f>INT(AN16)-AH17</f>
        <v>0</v>
      </c>
      <c r="AQ16" s="3">
        <f>INT(AO16)-AH17</f>
        <v>0</v>
      </c>
      <c r="AR16" s="3">
        <f>(AP16+45/360)^2</f>
        <v>1.5625E-2</v>
      </c>
      <c r="AS16" s="3">
        <f>(AQ16+45/360)^2</f>
        <v>1.5625E-2</v>
      </c>
      <c r="AT16" s="3">
        <f>(AR16+AS16)/3</f>
        <v>1.0416666666666666E-2</v>
      </c>
      <c r="AU16" s="3">
        <f>(AT16*4)</f>
        <v>4.1666666666666664E-2</v>
      </c>
      <c r="AV16" s="3">
        <f>AU16/3</f>
        <v>1.3888888888888888E-2</v>
      </c>
      <c r="AW16" s="31">
        <f>(AJ17+AK16)/2</f>
        <v>171.24902556637835</v>
      </c>
      <c r="AX16" s="29">
        <f>AX18*BA18</f>
        <v>172.43299999999999</v>
      </c>
      <c r="AY16" s="30">
        <f>AY18*BA18</f>
        <v>172.36799999999999</v>
      </c>
      <c r="AZ16" s="30">
        <f>AZ18*BA18</f>
        <v>172.56399999999999</v>
      </c>
      <c r="BA16" s="3">
        <f>((AX16+AY16)/2)+((AY16+AZ16)/2)</f>
        <v>344.86649999999997</v>
      </c>
      <c r="BB16" s="3">
        <f>(AX16-AY16)^2</f>
        <v>4.2249999999997047E-3</v>
      </c>
      <c r="BC16" s="3">
        <f>(AZ16-AY16)^2</f>
        <v>3.8415999999999201E-2</v>
      </c>
      <c r="BD16" s="4">
        <f>BG17</f>
        <v>344.82385899999997</v>
      </c>
      <c r="BE16" s="5">
        <f>(BD16/2)</f>
        <v>172.41192949999999</v>
      </c>
      <c r="BF16" s="3">
        <f>(AX16/AY16)</f>
        <v>1.0003771001578019</v>
      </c>
      <c r="BG16" s="3">
        <f>(AZ16/AY16)</f>
        <v>1.001137102014295</v>
      </c>
      <c r="BH16" s="3">
        <f>BF16^0.5</f>
        <v>1.0001885323066857</v>
      </c>
      <c r="BI16" s="3">
        <f>BG16^0.5</f>
        <v>1.0005683894738504</v>
      </c>
      <c r="BJ16" s="3">
        <f>INT(BH16)-BB17</f>
        <v>0</v>
      </c>
      <c r="BK16" s="3">
        <f>INT(BI16)-BB17</f>
        <v>0</v>
      </c>
      <c r="BL16" s="3">
        <f>(BJ16+45/360)^2</f>
        <v>1.5625E-2</v>
      </c>
      <c r="BM16" s="3">
        <f>(BK16+45/360)^2</f>
        <v>1.5625E-2</v>
      </c>
      <c r="BN16" s="3">
        <f>(BL16+BM16)/3</f>
        <v>1.0416666666666666E-2</v>
      </c>
      <c r="BO16" s="3">
        <f>(BN16*4)</f>
        <v>4.1666666666666664E-2</v>
      </c>
      <c r="BP16" s="3">
        <f>BO16/3</f>
        <v>1.3888888888888888E-2</v>
      </c>
      <c r="BQ16" s="31">
        <f>(BD17+BE16)/2</f>
        <v>172.17426924502479</v>
      </c>
      <c r="BR16" s="7"/>
      <c r="BS16" s="7"/>
      <c r="BT16" s="7"/>
      <c r="BU16" s="7"/>
      <c r="BV16" s="7"/>
      <c r="BW16" s="7"/>
      <c r="BX16" s="7"/>
      <c r="BY16" s="797"/>
      <c r="BZ16" s="797"/>
      <c r="CA16" s="797"/>
      <c r="CB16" s="769">
        <f>(CD13+CK15+CL15)/3</f>
        <v>137.70034657849507</v>
      </c>
      <c r="CC16" s="788">
        <f>INT(CI14^0.5)</f>
        <v>11</v>
      </c>
      <c r="CD16" s="769">
        <f>((CC16*CE16+CF16/360)^2+CC16^2)/2</f>
        <v>67.809596338169456</v>
      </c>
      <c r="CE16" s="769">
        <v>0.1</v>
      </c>
      <c r="CF16" s="789">
        <f>CI15*10000</f>
        <v>980.46190316097181</v>
      </c>
      <c r="CG16" s="790">
        <f>(CB16+(CD16/100))</f>
        <v>138.37844254187678</v>
      </c>
      <c r="CH16" s="791">
        <f>(CJ15-CI15*CF16/100)</f>
        <v>136.59204201613386</v>
      </c>
      <c r="CI16" s="792">
        <v>1</v>
      </c>
      <c r="CJ16" s="793" t="str">
        <f>IF(CI15&gt;CG15,"sell","buy")</f>
        <v>sell</v>
      </c>
      <c r="CK16" s="794">
        <f>(CD15+CJ15)</f>
        <v>138111.55334755967</v>
      </c>
      <c r="CL16" s="787">
        <f>(CD15+CC15+CB15+CI15)/CI15</f>
        <v>4212474.7194627244</v>
      </c>
      <c r="CM16" s="787">
        <f>(CD15+CC15+CB15+CL16+CK16)/5</f>
        <v>952720.65456205676</v>
      </c>
      <c r="CN16" s="787">
        <f>(CM16+((CK16+CL16)/20))</f>
        <v>1170249.9682025709</v>
      </c>
      <c r="CO16" s="769"/>
      <c r="CP16" s="769"/>
      <c r="CQ16" s="769"/>
      <c r="CR16" s="769"/>
      <c r="CS16" s="769"/>
      <c r="CT16" s="769"/>
      <c r="CU16" s="769"/>
    </row>
    <row r="17" spans="1:99" ht="15.75" thickBot="1" x14ac:dyDescent="0.3">
      <c r="A17" s="45" t="str">
        <f>G48</f>
        <v>LONG</v>
      </c>
      <c r="B17" s="39" t="s">
        <v>11</v>
      </c>
      <c r="C17" s="47" t="s">
        <v>12</v>
      </c>
      <c r="D17" s="48">
        <f>B66</f>
        <v>134211.36077624356</v>
      </c>
      <c r="E17" s="46" t="str">
        <f>AS48</f>
        <v>LONG</v>
      </c>
      <c r="F17" s="42" t="s">
        <v>11</v>
      </c>
      <c r="G17" s="49" t="s">
        <v>12</v>
      </c>
      <c r="H17" s="50">
        <f>AN66</f>
        <v>166120.94094712418</v>
      </c>
      <c r="P17" s="45" t="str">
        <f>G270</f>
        <v>SHORT</v>
      </c>
      <c r="Q17" s="39" t="s">
        <v>11</v>
      </c>
      <c r="R17" s="47" t="s">
        <v>12</v>
      </c>
      <c r="S17" s="48">
        <f>B288</f>
        <v>172598.9452975333</v>
      </c>
      <c r="T17" s="46" t="str">
        <f>AS270</f>
        <v>SHORT</v>
      </c>
      <c r="U17" s="42" t="s">
        <v>11</v>
      </c>
      <c r="V17" s="49" t="s">
        <v>12</v>
      </c>
      <c r="W17" s="50">
        <f>AN288</f>
        <v>138387.68779249321</v>
      </c>
      <c r="AD17" s="8">
        <f>(AK16+AF16)/2</f>
        <v>171.80427950000001</v>
      </c>
      <c r="AE17" s="3">
        <f>AT16/3</f>
        <v>3.472222222222222E-3</v>
      </c>
      <c r="AF17" s="3">
        <f>AE17/2</f>
        <v>1.736111111111111E-3</v>
      </c>
      <c r="AG17" s="9">
        <f>AF17/2</f>
        <v>8.6805555555555551E-4</v>
      </c>
      <c r="AH17" s="10">
        <v>1</v>
      </c>
      <c r="AI17" s="3">
        <f>(AI16+AH16)^0.5</f>
        <v>1.3243421008183609</v>
      </c>
      <c r="AJ17" s="11">
        <f>(AK16)*((AI17-AF17-AG17)^(AE17-AF17))</f>
        <v>171.29049213275667</v>
      </c>
      <c r="AK17" s="12">
        <f>(AF16+AD16+AJ17+AW16)/4</f>
        <v>171.90837942478376</v>
      </c>
      <c r="AL17" s="13">
        <f>AH16-AI16-AG16</f>
        <v>-343.62880000000001</v>
      </c>
      <c r="AM17" s="13">
        <f>AG16-AH16-AI16</f>
        <v>342.41511800000006</v>
      </c>
      <c r="AN17" s="13">
        <f>AI16+AH16-AG16</f>
        <v>-342.41511800000006</v>
      </c>
      <c r="AO17" s="13">
        <f>AI16+AG16-AH16</f>
        <v>343.62880000000001</v>
      </c>
      <c r="AP17" s="14"/>
      <c r="AQ17" s="3"/>
      <c r="AR17" s="3"/>
      <c r="AS17" s="3"/>
      <c r="AT17" s="3"/>
      <c r="AU17" s="3"/>
      <c r="AV17" s="3"/>
      <c r="AW17" s="15">
        <f>(AK16+AW16)/2</f>
        <v>171.22829228318921</v>
      </c>
      <c r="AX17" s="8">
        <f>(BE16+AZ16)/2</f>
        <v>172.48796475</v>
      </c>
      <c r="AY17" s="3">
        <f>BN16/3</f>
        <v>3.472222222222222E-3</v>
      </c>
      <c r="AZ17" s="3">
        <f>AY17/2</f>
        <v>1.736111111111111E-3</v>
      </c>
      <c r="BA17" s="9">
        <f>AZ17/2</f>
        <v>8.6805555555555551E-4</v>
      </c>
      <c r="BB17" s="10">
        <v>1</v>
      </c>
      <c r="BC17" s="3">
        <f>(BC16+BB16)^0.5</f>
        <v>0.20649697334343403</v>
      </c>
      <c r="BD17" s="11">
        <f>(BE16)*((BC17-AZ17-BA17)^(AY17-AZ17))</f>
        <v>171.93660899004956</v>
      </c>
      <c r="BE17" s="12">
        <f>(AZ16+AX16+BD17+BQ16)/4</f>
        <v>172.27696955876857</v>
      </c>
      <c r="BF17" s="13">
        <f>BB16-BC16-BA16</f>
        <v>-344.90069099999999</v>
      </c>
      <c r="BG17" s="13">
        <f>BA16-BB16-BC16</f>
        <v>344.82385899999997</v>
      </c>
      <c r="BH17" s="13">
        <f>BC16+BB16-BA16</f>
        <v>-344.82385899999997</v>
      </c>
      <c r="BI17" s="13">
        <f>BC16+BA16-BB16</f>
        <v>344.90069099999994</v>
      </c>
      <c r="BJ17" s="14"/>
      <c r="BK17" s="3"/>
      <c r="BL17" s="3"/>
      <c r="BM17" s="3"/>
      <c r="BN17" s="3"/>
      <c r="BO17" s="3"/>
      <c r="BP17" s="3"/>
      <c r="BQ17" s="15">
        <f>(BE16+BQ16)/2</f>
        <v>172.29309937251239</v>
      </c>
      <c r="BR17" s="7"/>
      <c r="BS17" s="7"/>
      <c r="BT17" s="7"/>
      <c r="BU17" s="7"/>
      <c r="BV17" s="7"/>
      <c r="BW17" s="7"/>
      <c r="BX17" s="7"/>
      <c r="BY17" s="797"/>
      <c r="BZ17" s="797"/>
      <c r="CA17" s="797"/>
      <c r="CB17" s="767">
        <f>CB19*CE19</f>
        <v>137.251</v>
      </c>
      <c r="CC17" s="768">
        <f>CC19*CE19</f>
        <v>137.22</v>
      </c>
      <c r="CD17" s="768">
        <f>CD19*CE19</f>
        <v>137.398</v>
      </c>
      <c r="CE17" s="769">
        <f>((CB17+CC17)/2)+((CC17+CD17)/2)</f>
        <v>274.54449999999997</v>
      </c>
      <c r="CF17" s="769">
        <f>(CB17-CC17)^2</f>
        <v>9.6100000000036651E-4</v>
      </c>
      <c r="CG17" s="769">
        <f>(CD17-CC17)^2</f>
        <v>3.1683999999999025E-2</v>
      </c>
      <c r="CH17" s="770">
        <f>CK18</f>
        <v>274.51185499999997</v>
      </c>
      <c r="CI17" s="771">
        <f>(CH17/2)</f>
        <v>137.25592749999998</v>
      </c>
      <c r="CJ17" s="769">
        <f>(CB17/CC17)</f>
        <v>1.0002259145897101</v>
      </c>
      <c r="CK17" s="769">
        <f>(CD17/CC17)</f>
        <v>1.0012971869989797</v>
      </c>
      <c r="CL17" s="769">
        <f>CJ17^0.5</f>
        <v>1.0001129509159004</v>
      </c>
      <c r="CM17" s="769">
        <f>CK17^0.5</f>
        <v>1.0006483832990387</v>
      </c>
      <c r="CN17" s="769">
        <f>INT(CL17)-CF18</f>
        <v>0</v>
      </c>
      <c r="CO17" s="769">
        <f>INT(CM17)-CF18</f>
        <v>0</v>
      </c>
      <c r="CP17" s="769">
        <f>(CN17+45/360)^2</f>
        <v>1.5625E-2</v>
      </c>
      <c r="CQ17" s="769">
        <f>(CO17+45/360)^2</f>
        <v>1.5625E-2</v>
      </c>
      <c r="CR17" s="769">
        <f>(CP17+CQ17)/3</f>
        <v>1.0416666666666666E-2</v>
      </c>
      <c r="CS17" s="769">
        <f>(CR17*4)</f>
        <v>4.1666666666666664E-2</v>
      </c>
      <c r="CT17" s="769">
        <f>CS17/3</f>
        <v>1.3888888888888888E-2</v>
      </c>
      <c r="CU17" s="772">
        <f>(CH18+CI17)/2</f>
        <v>137.0506431751148</v>
      </c>
    </row>
    <row r="18" spans="1:99" x14ac:dyDescent="0.25">
      <c r="A18" s="45" t="str">
        <f>G57</f>
        <v>LONG</v>
      </c>
      <c r="B18" s="39" t="s">
        <v>13</v>
      </c>
      <c r="C18" s="51" t="s">
        <v>14</v>
      </c>
      <c r="D18" s="48">
        <f>B92</f>
        <v>132920.86445807049</v>
      </c>
      <c r="E18" s="46" t="str">
        <f>AS48</f>
        <v>LONG</v>
      </c>
      <c r="F18" s="42" t="s">
        <v>13</v>
      </c>
      <c r="G18" s="52" t="s">
        <v>14</v>
      </c>
      <c r="H18" s="50">
        <f>AN92</f>
        <v>165147.75425446054</v>
      </c>
      <c r="P18" s="45" t="str">
        <f>G279</f>
        <v>SHORT</v>
      </c>
      <c r="Q18" s="39" t="s">
        <v>13</v>
      </c>
      <c r="R18" s="51" t="s">
        <v>14</v>
      </c>
      <c r="S18" s="48">
        <f>B314</f>
        <v>172230.55097986394</v>
      </c>
      <c r="T18" s="46" t="str">
        <f>AS279</f>
        <v>SHORT</v>
      </c>
      <c r="U18" s="42" t="s">
        <v>13</v>
      </c>
      <c r="V18" s="52" t="s">
        <v>14</v>
      </c>
      <c r="W18" s="50">
        <f>AN314</f>
        <v>136787.99602998348</v>
      </c>
      <c r="AD18" s="16">
        <f>P20</f>
        <v>172693</v>
      </c>
      <c r="AE18" s="17">
        <f>Q22</f>
        <v>171622</v>
      </c>
      <c r="AF18" s="18">
        <f>P24</f>
        <v>172401</v>
      </c>
      <c r="AG18" s="19">
        <v>1E-3</v>
      </c>
      <c r="AH18" s="20">
        <f>ABS(AK17-AJ17)</f>
        <v>0.61788729202709192</v>
      </c>
      <c r="AI18" s="3">
        <f>ABS(AJ17-AK16)</f>
        <v>8.2933132756636496E-2</v>
      </c>
      <c r="AJ18" s="3">
        <f>ABS(AD17-AJ17)</f>
        <v>0.51378736724333862</v>
      </c>
      <c r="AK18" s="21">
        <f>ABS(AJ18-AH18)</f>
        <v>0.10409992478375329</v>
      </c>
      <c r="AL18" s="22">
        <f>IF(AK18&gt;AI18,AK17,AI19)</f>
        <v>171.90837942478376</v>
      </c>
      <c r="AM18" s="23">
        <f>(AK17+AK18)</f>
        <v>172.01247934956751</v>
      </c>
      <c r="AN18" s="24">
        <f>(AK16+AK17+AJ17+AK18*3)/3</f>
        <v>171.57291011063057</v>
      </c>
      <c r="AO18" s="3"/>
      <c r="AP18" s="3"/>
      <c r="AQ18" s="3"/>
      <c r="AR18" s="3"/>
      <c r="AS18" s="3"/>
      <c r="AT18" s="3"/>
      <c r="AU18" s="3"/>
      <c r="AV18" s="3"/>
      <c r="AW18" s="3"/>
      <c r="AX18" s="16">
        <f>S24</f>
        <v>172433</v>
      </c>
      <c r="AY18" s="17">
        <f>S25</f>
        <v>172368</v>
      </c>
      <c r="AZ18" s="18">
        <f>S26</f>
        <v>172564</v>
      </c>
      <c r="BA18" s="19">
        <v>1E-3</v>
      </c>
      <c r="BB18" s="20">
        <f>ABS(BE17-BD17)</f>
        <v>0.34036056871900655</v>
      </c>
      <c r="BC18" s="3">
        <f>ABS(BD17-BE16)</f>
        <v>0.47532050995042141</v>
      </c>
      <c r="BD18" s="3">
        <f>ABS(AX17-BD17)</f>
        <v>0.55135575995043951</v>
      </c>
      <c r="BE18" s="21">
        <f>ABS(BD18-BB18)</f>
        <v>0.21099519123143295</v>
      </c>
      <c r="BF18" s="22">
        <f>IF(BE18&gt;BC18,BE17,BC19)</f>
        <v>173.59188553761732</v>
      </c>
      <c r="BG18" s="23">
        <f>(BE17+BE18)</f>
        <v>172.48796475</v>
      </c>
      <c r="BH18" s="24">
        <f>(BE16+BE17+BD17+BE18*3)/3</f>
        <v>172.41949787417082</v>
      </c>
      <c r="BI18" s="3"/>
      <c r="BJ18" s="3"/>
      <c r="BK18" s="3"/>
      <c r="BL18" s="3"/>
      <c r="BM18" s="3"/>
      <c r="BN18" s="3"/>
      <c r="BO18" s="3"/>
      <c r="BP18" s="3"/>
      <c r="BQ18" s="3"/>
      <c r="BR18" s="7"/>
      <c r="BS18" s="7"/>
      <c r="BT18" s="7"/>
      <c r="BU18" s="7"/>
      <c r="BV18" s="7"/>
      <c r="BW18" s="7"/>
      <c r="BX18" s="7"/>
      <c r="BY18" s="797"/>
      <c r="BZ18" s="797"/>
      <c r="CA18" s="797"/>
      <c r="CB18" s="795">
        <f>(CI17+CD17)/2</f>
        <v>137.32696375</v>
      </c>
      <c r="CC18" s="769">
        <f>CR17/3</f>
        <v>3.472222222222222E-3</v>
      </c>
      <c r="CD18" s="769">
        <f>CC18/2</f>
        <v>1.736111111111111E-3</v>
      </c>
      <c r="CE18" s="774">
        <f>CD18/2</f>
        <v>8.6805555555555551E-4</v>
      </c>
      <c r="CF18" s="775">
        <v>1</v>
      </c>
      <c r="CG18" s="769">
        <f>(CG17+CF17)^0.5</f>
        <v>0.18067927385286722</v>
      </c>
      <c r="CH18" s="776">
        <f>(CI17)*((CG18-CD18-CE18)^(CC18-CD18))</f>
        <v>136.84535885022962</v>
      </c>
      <c r="CI18" s="777">
        <f>(CD17+CB17+CH18+CU17)/4</f>
        <v>137.1362505063361</v>
      </c>
      <c r="CJ18" s="778">
        <f>(CF17-CG17-CE17)/CI20</f>
        <v>-274.57522299999999</v>
      </c>
      <c r="CK18" s="778">
        <f>(CE17-CF17-CG17)/CI20</f>
        <v>274.51185499999997</v>
      </c>
      <c r="CL18" s="778">
        <f>(CG17+CF17-CE17)/CI20</f>
        <v>-274.51185499999997</v>
      </c>
      <c r="CM18" s="778">
        <f>(CG17+CE17-CF17)/CI20</f>
        <v>274.57522299999994</v>
      </c>
      <c r="CN18" s="779"/>
      <c r="CO18" s="769"/>
      <c r="CP18" s="769"/>
      <c r="CQ18" s="769"/>
      <c r="CR18" s="769"/>
      <c r="CS18" s="769"/>
      <c r="CT18" s="769"/>
      <c r="CU18" s="780">
        <f>(CI17+CU17)/2</f>
        <v>137.15328533755741</v>
      </c>
    </row>
    <row r="19" spans="1:99" ht="15.75" thickBot="1" x14ac:dyDescent="0.3">
      <c r="A19" s="53" t="s">
        <v>15</v>
      </c>
      <c r="B19" s="53" t="s">
        <v>16</v>
      </c>
      <c r="C19" s="54" t="s">
        <v>17</v>
      </c>
      <c r="D19" s="48">
        <f>B37</f>
        <v>133566.11261715702</v>
      </c>
      <c r="E19" s="55" t="s">
        <v>15</v>
      </c>
      <c r="F19" s="55" t="s">
        <v>18</v>
      </c>
      <c r="G19" s="56" t="s">
        <v>17</v>
      </c>
      <c r="H19" s="50">
        <f>AN37</f>
        <v>165634.34760079236</v>
      </c>
      <c r="P19" s="53" t="s">
        <v>15</v>
      </c>
      <c r="Q19" s="53" t="s">
        <v>16</v>
      </c>
      <c r="R19" s="54" t="s">
        <v>17</v>
      </c>
      <c r="S19" s="48">
        <f>B259</f>
        <v>172414.74813869863</v>
      </c>
      <c r="T19" s="55" t="s">
        <v>15</v>
      </c>
      <c r="U19" s="55" t="s">
        <v>18</v>
      </c>
      <c r="V19" s="56" t="s">
        <v>17</v>
      </c>
      <c r="W19" s="57">
        <f>AN259</f>
        <v>137587.84191123833</v>
      </c>
      <c r="AD19" s="3">
        <f>(AF16+AM18+AN18)/3</f>
        <v>171.99546315339936</v>
      </c>
      <c r="AE19" s="26">
        <f>INT(AK17^0.5)</f>
        <v>13</v>
      </c>
      <c r="AF19" s="3">
        <f>((AE19*AG19+AH19/360)^2+AE19^2)/2</f>
        <v>93.285025964406785</v>
      </c>
      <c r="AG19" s="3">
        <v>0.1</v>
      </c>
      <c r="AH19" s="27">
        <f>AK18*10000</f>
        <v>1040.9992478375329</v>
      </c>
      <c r="AI19" s="28">
        <f>(AD19+(AF19/100))</f>
        <v>172.92831341304341</v>
      </c>
      <c r="AJ19" s="2"/>
      <c r="AK19" s="2"/>
      <c r="AL19" s="34" t="str">
        <f>IF(AK18&gt;AI18,"sell","buy")</f>
        <v>sell</v>
      </c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>
        <f>(AZ16+BG18+BH18)/3</f>
        <v>172.49048754139028</v>
      </c>
      <c r="AY19" s="26">
        <f>INT(BE17^0.5)</f>
        <v>13</v>
      </c>
      <c r="AZ19" s="3">
        <f>((AY19*BA19+BB19/360)^2+AY19^2)/2</f>
        <v>110.1397996227049</v>
      </c>
      <c r="BA19" s="3">
        <v>0.1</v>
      </c>
      <c r="BB19" s="27">
        <f>BE18*10000</f>
        <v>2109.9519123143295</v>
      </c>
      <c r="BC19" s="28">
        <f>(AX19+(AZ19/100))</f>
        <v>173.59188553761732</v>
      </c>
      <c r="BD19" s="2"/>
      <c r="BE19" s="2"/>
      <c r="BF19" s="34" t="str">
        <f>IF(BE18&gt;BC18,"sell","buy")</f>
        <v>buy</v>
      </c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7"/>
      <c r="BS19" s="7"/>
      <c r="BT19" s="7"/>
      <c r="BU19" s="7"/>
      <c r="BV19" s="7"/>
      <c r="BW19" s="7"/>
      <c r="BX19" s="7"/>
      <c r="BY19" s="797"/>
      <c r="BZ19" s="797"/>
      <c r="CA19" s="797" t="s">
        <v>55</v>
      </c>
      <c r="CB19" s="781">
        <v>137251</v>
      </c>
      <c r="CC19" s="52">
        <v>137220</v>
      </c>
      <c r="CD19" s="49">
        <v>137398</v>
      </c>
      <c r="CE19" s="782">
        <v>1E-3</v>
      </c>
      <c r="CF19" s="783">
        <f>ABS(CI18-CH18)</f>
        <v>0.29089165610648138</v>
      </c>
      <c r="CG19" s="769">
        <f>ABS(CH18-CI17)</f>
        <v>0.41056864977036867</v>
      </c>
      <c r="CH19" s="769">
        <f>ABS(CB18-CH18)</f>
        <v>0.48160489977038878</v>
      </c>
      <c r="CI19" s="784">
        <f>ABS(CH19-CF19)</f>
        <v>0.19071324366390741</v>
      </c>
      <c r="CJ19" s="785">
        <f>IF(CI19&gt;CG19,CI18,CG20)</f>
        <v>138.14126444416914</v>
      </c>
      <c r="CK19" s="786">
        <f>(CI18+CI19)</f>
        <v>137.32696375</v>
      </c>
      <c r="CL19" s="786">
        <f>(CI17+CI18+CH18+CI19*3)/3</f>
        <v>137.26989219585246</v>
      </c>
      <c r="CM19" s="787">
        <f>(CM20+CL20+CN20)/3</f>
        <v>1119365.2960189458</v>
      </c>
      <c r="CN19" s="787">
        <f>(CN20+CL20)/2</f>
        <v>1408144.8764890197</v>
      </c>
      <c r="CO19" s="769"/>
      <c r="CP19" s="769"/>
      <c r="CQ19" s="769"/>
      <c r="CR19" s="769"/>
      <c r="CS19" s="769"/>
      <c r="CT19" s="769"/>
      <c r="CU19" s="769"/>
    </row>
    <row r="20" spans="1:99" ht="15.75" thickBot="1" x14ac:dyDescent="0.3">
      <c r="A20" s="58">
        <v>133988</v>
      </c>
      <c r="B20" s="59">
        <v>132202</v>
      </c>
      <c r="C20" s="54" t="s">
        <v>19</v>
      </c>
      <c r="D20" s="48">
        <f>A37</f>
        <v>132600.42333725898</v>
      </c>
      <c r="E20" s="60">
        <v>165973</v>
      </c>
      <c r="F20" s="52">
        <v>165359</v>
      </c>
      <c r="G20" s="56" t="s">
        <v>19</v>
      </c>
      <c r="H20" s="50">
        <f>AM37</f>
        <v>164888.66341518148</v>
      </c>
      <c r="P20" s="58">
        <v>172693</v>
      </c>
      <c r="Q20" s="59">
        <v>172305</v>
      </c>
      <c r="R20" s="54" t="s">
        <v>19</v>
      </c>
      <c r="S20" s="48">
        <f>A259</f>
        <v>172031.78767465689</v>
      </c>
      <c r="T20" s="58">
        <v>137699</v>
      </c>
      <c r="U20" s="59">
        <v>137212</v>
      </c>
      <c r="V20" s="56" t="s">
        <v>19</v>
      </c>
      <c r="W20" s="50">
        <f>AM259</f>
        <v>136744.65571132264</v>
      </c>
      <c r="AD20" s="29">
        <f>AD22*AG22</f>
        <v>137.69900000000001</v>
      </c>
      <c r="AE20" s="30">
        <f>AE22*AG22</f>
        <v>137.34399999999999</v>
      </c>
      <c r="AF20" s="30">
        <f>AF22*AG22</f>
        <v>137.97399999999999</v>
      </c>
      <c r="AG20" s="3">
        <f>((AD20+AE20)/2)+((AE20+AF20)/2)</f>
        <v>275.18049999999999</v>
      </c>
      <c r="AH20" s="3">
        <f>(AD20-AE20)^2</f>
        <v>0.1260250000000129</v>
      </c>
      <c r="AI20" s="3">
        <f>(AF20-AE20)^2</f>
        <v>0.39689999999999426</v>
      </c>
      <c r="AJ20" s="4">
        <f>AM21</f>
        <v>274.65757499999995</v>
      </c>
      <c r="AK20" s="5">
        <f>(AJ20/2)</f>
        <v>137.32878749999998</v>
      </c>
      <c r="AL20" s="3">
        <f>(AD20/AE20)</f>
        <v>1.0025847506989749</v>
      </c>
      <c r="AM20" s="3">
        <f>(AF20/AE20)</f>
        <v>1.0045870223671947</v>
      </c>
      <c r="AN20" s="3">
        <f>AL20^0.5</f>
        <v>1.0012915413100096</v>
      </c>
      <c r="AO20" s="3">
        <f>AM20^0.5</f>
        <v>1.0022908871017409</v>
      </c>
      <c r="AP20" s="3">
        <f>INT(AN20)-AH21</f>
        <v>0</v>
      </c>
      <c r="AQ20" s="3">
        <f>INT(AO20)-AH21</f>
        <v>0</v>
      </c>
      <c r="AR20" s="3">
        <f>(AP20+45/360)^2</f>
        <v>1.5625E-2</v>
      </c>
      <c r="AS20" s="3">
        <f>(AQ20+45/360)^2</f>
        <v>1.5625E-2</v>
      </c>
      <c r="AT20" s="3">
        <f>(AR20+AS20)/3</f>
        <v>1.0416666666666666E-2</v>
      </c>
      <c r="AU20" s="3">
        <f>(AT20*4)</f>
        <v>4.1666666666666664E-2</v>
      </c>
      <c r="AV20" s="3">
        <f>AU20/3</f>
        <v>1.3888888888888888E-2</v>
      </c>
      <c r="AW20" s="31">
        <f>(AJ21+AK20)/2</f>
        <v>137.28972591291185</v>
      </c>
      <c r="AX20" s="29">
        <f>AX22*BA22</f>
        <v>137.251</v>
      </c>
      <c r="AY20" s="30">
        <f>AY22*BA22</f>
        <v>137.22</v>
      </c>
      <c r="AZ20" s="30">
        <f>AZ22*BA22</f>
        <v>137.398</v>
      </c>
      <c r="BA20" s="3">
        <f>((AX20+AY20)/2)+((AY20+AZ20)/2)</f>
        <v>274.54449999999997</v>
      </c>
      <c r="BB20" s="3">
        <f>(AX20-AY20)^2</f>
        <v>9.6100000000036651E-4</v>
      </c>
      <c r="BC20" s="3">
        <f>(AZ20-AY20)^2</f>
        <v>3.1683999999999025E-2</v>
      </c>
      <c r="BD20" s="4">
        <f>BG21</f>
        <v>274.51185499999997</v>
      </c>
      <c r="BE20" s="5">
        <f>(BD20/2)</f>
        <v>137.25592749999998</v>
      </c>
      <c r="BF20" s="3">
        <f>(AX20/AY20)</f>
        <v>1.0002259145897101</v>
      </c>
      <c r="BG20" s="3">
        <f>(AZ20/AY20)</f>
        <v>1.0012971869989797</v>
      </c>
      <c r="BH20" s="3">
        <f>BF20^0.5</f>
        <v>1.0001129509159004</v>
      </c>
      <c r="BI20" s="3">
        <f>BG20^0.5</f>
        <v>1.0006483832990387</v>
      </c>
      <c r="BJ20" s="3">
        <f>INT(BH20)-BB21</f>
        <v>0</v>
      </c>
      <c r="BK20" s="3">
        <f>INT(BI20)-BB21</f>
        <v>0</v>
      </c>
      <c r="BL20" s="3">
        <f>(BJ20+45/360)^2</f>
        <v>1.5625E-2</v>
      </c>
      <c r="BM20" s="3">
        <f>(BK20+45/360)^2</f>
        <v>1.5625E-2</v>
      </c>
      <c r="BN20" s="3">
        <f>(BL20+BM20)/3</f>
        <v>1.0416666666666666E-2</v>
      </c>
      <c r="BO20" s="3">
        <f>(BN20*4)</f>
        <v>4.1666666666666664E-2</v>
      </c>
      <c r="BP20" s="3">
        <f>BO20/3</f>
        <v>1.3888888888888888E-2</v>
      </c>
      <c r="BQ20" s="31">
        <f>(BD21+BE20)/2</f>
        <v>137.0506431751148</v>
      </c>
      <c r="BR20" s="7"/>
      <c r="BS20" s="7"/>
      <c r="BT20" s="7"/>
      <c r="BU20" s="7"/>
      <c r="BV20" s="7"/>
      <c r="BW20" s="7"/>
      <c r="BX20" s="7"/>
      <c r="BY20" s="797"/>
      <c r="BZ20" s="797"/>
      <c r="CA20" s="797"/>
      <c r="CB20" s="769">
        <f>(CD17+CK19+CL19)/3</f>
        <v>137.33161864861748</v>
      </c>
      <c r="CC20" s="788">
        <f>INT(CI18^0.5)</f>
        <v>11</v>
      </c>
      <c r="CD20" s="769">
        <f>((CC20*CE20+CF20/360)^2+CC20^2)/2</f>
        <v>80.96457955516604</v>
      </c>
      <c r="CE20" s="769">
        <v>0.1</v>
      </c>
      <c r="CF20" s="789">
        <f>CI19*10000</f>
        <v>1907.1324366390741</v>
      </c>
      <c r="CG20" s="790">
        <f>(CB20+(CD20/100))</f>
        <v>138.14126444416914</v>
      </c>
      <c r="CH20" s="791">
        <f>(CJ19-CI19*CF20/100)</f>
        <v>134.50411031328824</v>
      </c>
      <c r="CI20" s="792">
        <v>1</v>
      </c>
      <c r="CJ20" s="793" t="str">
        <f>IF(CI19&gt;CG19,"sell","buy")</f>
        <v>buy</v>
      </c>
      <c r="CK20" s="794">
        <f>(CD19+CJ19)</f>
        <v>137536.14126444416</v>
      </c>
      <c r="CL20" s="787">
        <f>(CD19+CC19+CB19+CI19)/CI19</f>
        <v>2159625.5341295428</v>
      </c>
      <c r="CM20" s="787">
        <f>(CD19+CC19+CB19+CL20+CK20)/5</f>
        <v>541806.13507879735</v>
      </c>
      <c r="CN20" s="787">
        <f>(CM20+((CK20+CL20)/20))</f>
        <v>656664.21884849668</v>
      </c>
      <c r="CO20" s="769"/>
      <c r="CP20" s="769"/>
      <c r="CQ20" s="769"/>
      <c r="CR20" s="769"/>
      <c r="CS20" s="769"/>
      <c r="CT20" s="769"/>
      <c r="CU20" s="769"/>
    </row>
    <row r="21" spans="1:99" x14ac:dyDescent="0.25">
      <c r="A21" s="53" t="s">
        <v>20</v>
      </c>
      <c r="B21" s="53" t="s">
        <v>21</v>
      </c>
      <c r="C21" s="56" t="s">
        <v>22</v>
      </c>
      <c r="D21" s="48">
        <v>-1</v>
      </c>
      <c r="E21" s="55" t="s">
        <v>20</v>
      </c>
      <c r="F21" s="55" t="s">
        <v>21</v>
      </c>
      <c r="G21" s="56" t="s">
        <v>22</v>
      </c>
      <c r="H21" s="50">
        <v>-1</v>
      </c>
      <c r="P21" s="53" t="s">
        <v>20</v>
      </c>
      <c r="Q21" s="53" t="s">
        <v>21</v>
      </c>
      <c r="R21" s="54" t="s">
        <v>22</v>
      </c>
      <c r="S21" s="48">
        <v>-1</v>
      </c>
      <c r="T21" s="55" t="s">
        <v>20</v>
      </c>
      <c r="U21" s="55" t="s">
        <v>21</v>
      </c>
      <c r="V21" s="56" t="s">
        <v>22</v>
      </c>
      <c r="W21" s="50">
        <v>-1</v>
      </c>
      <c r="AD21" s="8">
        <f>(AK20+AF20)/2</f>
        <v>137.65139374999998</v>
      </c>
      <c r="AE21" s="3">
        <f>AT20/3</f>
        <v>3.472222222222222E-3</v>
      </c>
      <c r="AF21" s="3">
        <f>AE21/2</f>
        <v>1.736111111111111E-3</v>
      </c>
      <c r="AG21" s="9">
        <f>AF21/2</f>
        <v>8.6805555555555551E-4</v>
      </c>
      <c r="AH21" s="10">
        <v>1</v>
      </c>
      <c r="AI21" s="3">
        <f>(AI20+AH20)^0.5</f>
        <v>0.72313553363114935</v>
      </c>
      <c r="AJ21" s="11">
        <f>(AK20)*((AI21-AF21-AG21)^(AE21-AF21))</f>
        <v>137.25066432582372</v>
      </c>
      <c r="AK21" s="12">
        <f>(AF20+AD20+AJ21+AW20)/4</f>
        <v>137.55334755968389</v>
      </c>
      <c r="AL21" s="13">
        <f>AH20-AI20-AG20</f>
        <v>-275.45137499999998</v>
      </c>
      <c r="AM21" s="13">
        <f>AG20-AH20-AI20</f>
        <v>274.65757499999995</v>
      </c>
      <c r="AN21" s="13">
        <f>AI20+AH20-AG20</f>
        <v>-274.65757500000001</v>
      </c>
      <c r="AO21" s="13">
        <f>AI20+AG20-AH20</f>
        <v>275.45137499999998</v>
      </c>
      <c r="AP21" s="14"/>
      <c r="AQ21" s="3"/>
      <c r="AR21" s="3"/>
      <c r="AS21" s="3"/>
      <c r="AT21" s="3"/>
      <c r="AU21" s="3"/>
      <c r="AV21" s="3"/>
      <c r="AW21" s="15">
        <f>(AK20+AW20)/2</f>
        <v>137.30925670645593</v>
      </c>
      <c r="AX21" s="8">
        <f>(BE20+AZ20)/2</f>
        <v>137.32696375</v>
      </c>
      <c r="AY21" s="3">
        <f>BN20/3</f>
        <v>3.472222222222222E-3</v>
      </c>
      <c r="AZ21" s="3">
        <f>AY21/2</f>
        <v>1.736111111111111E-3</v>
      </c>
      <c r="BA21" s="9">
        <f>AZ21/2</f>
        <v>8.6805555555555551E-4</v>
      </c>
      <c r="BB21" s="10">
        <v>1</v>
      </c>
      <c r="BC21" s="3">
        <f>(BC20+BB20)^0.5</f>
        <v>0.18067927385286722</v>
      </c>
      <c r="BD21" s="11">
        <f>(BE20)*((BC21-AZ21-BA21)^(AY21-AZ21))</f>
        <v>136.84535885022962</v>
      </c>
      <c r="BE21" s="12">
        <f>(AZ20+AX20+BD21+BQ20)/4</f>
        <v>137.1362505063361</v>
      </c>
      <c r="BF21" s="13">
        <f>BB20-BC20-BA20</f>
        <v>-274.57522299999999</v>
      </c>
      <c r="BG21" s="13">
        <f>BA20-BB20-BC20</f>
        <v>274.51185499999997</v>
      </c>
      <c r="BH21" s="13">
        <f>BC20+BB20-BA20</f>
        <v>-274.51185499999997</v>
      </c>
      <c r="BI21" s="13">
        <f>BC20+BA20-BB20</f>
        <v>274.57522299999994</v>
      </c>
      <c r="BJ21" s="14"/>
      <c r="BK21" s="3"/>
      <c r="BL21" s="3"/>
      <c r="BM21" s="3"/>
      <c r="BN21" s="3"/>
      <c r="BO21" s="3"/>
      <c r="BP21" s="3"/>
      <c r="BQ21" s="15">
        <f>(BE20+BQ20)/2</f>
        <v>137.15328533755741</v>
      </c>
      <c r="BR21" s="7"/>
      <c r="BS21" s="7"/>
      <c r="BT21" s="7"/>
      <c r="BU21" s="7"/>
      <c r="BV21" s="7"/>
      <c r="BW21" s="7"/>
      <c r="BX21" s="7"/>
      <c r="BY21" s="797"/>
      <c r="BZ21" s="797"/>
      <c r="CA21" s="797"/>
      <c r="CB21" s="797"/>
      <c r="CC21" s="797"/>
      <c r="CD21" s="797"/>
      <c r="CE21" s="797"/>
      <c r="CF21" s="797"/>
      <c r="CG21" s="797"/>
      <c r="CH21" s="797"/>
      <c r="CI21" s="797"/>
      <c r="CJ21" s="797"/>
      <c r="CK21" s="797"/>
      <c r="CL21" s="797"/>
      <c r="CM21" s="797"/>
      <c r="CN21" s="797"/>
      <c r="CO21" s="797"/>
      <c r="CP21" s="797"/>
      <c r="CQ21" s="797"/>
      <c r="CR21" s="797"/>
      <c r="CS21" s="797"/>
      <c r="CT21" s="797"/>
      <c r="CU21" s="797"/>
    </row>
    <row r="22" spans="1:99" x14ac:dyDescent="0.25">
      <c r="A22" s="61">
        <v>134149</v>
      </c>
      <c r="B22" s="59">
        <v>133357</v>
      </c>
      <c r="C22" s="54" t="s">
        <v>23</v>
      </c>
      <c r="D22" s="48">
        <f>(A37+B37)/2</f>
        <v>133083.26797720802</v>
      </c>
      <c r="E22" s="60">
        <v>165975</v>
      </c>
      <c r="F22" s="52">
        <v>165605</v>
      </c>
      <c r="G22" s="56" t="s">
        <v>23</v>
      </c>
      <c r="H22" s="62">
        <f>(H20+H19)/2</f>
        <v>165261.50550798693</v>
      </c>
      <c r="P22" s="61">
        <v>172632</v>
      </c>
      <c r="Q22" s="59">
        <v>171622</v>
      </c>
      <c r="R22" s="54" t="s">
        <v>24</v>
      </c>
      <c r="S22" s="48">
        <f>(S20+S19)/2</f>
        <v>172223.26790667776</v>
      </c>
      <c r="T22" s="61">
        <v>138030</v>
      </c>
      <c r="U22" s="59">
        <v>137344</v>
      </c>
      <c r="V22" s="56" t="s">
        <v>24</v>
      </c>
      <c r="W22" s="62">
        <f>(W20+W19)/2</f>
        <v>137166.24881128047</v>
      </c>
      <c r="AD22" s="16">
        <f>T20</f>
        <v>137699</v>
      </c>
      <c r="AE22" s="17">
        <f>U22</f>
        <v>137344</v>
      </c>
      <c r="AF22" s="18">
        <f>T24</f>
        <v>137974</v>
      </c>
      <c r="AG22" s="19">
        <v>1E-3</v>
      </c>
      <c r="AH22" s="20">
        <f>ABS(AK21-AJ21)</f>
        <v>0.30268323386016505</v>
      </c>
      <c r="AI22" s="3">
        <f>ABS(AJ21-AK20)</f>
        <v>7.8123174176255361E-2</v>
      </c>
      <c r="AJ22" s="3">
        <f>ABS(AD21-AJ21)</f>
        <v>0.40072942417626223</v>
      </c>
      <c r="AK22" s="21">
        <f>ABS(AJ22-AH22)</f>
        <v>9.8046190316097181E-2</v>
      </c>
      <c r="AL22" s="22">
        <f>IF(AK22&gt;AI22,AK21,AI23)</f>
        <v>137.55334755968389</v>
      </c>
      <c r="AM22" s="23">
        <f>(AK21+AK22)</f>
        <v>137.65139374999998</v>
      </c>
      <c r="AN22" s="24">
        <f>(AK20+AK21+AJ21+AK22*3)/3</f>
        <v>137.47564598548527</v>
      </c>
      <c r="AO22" s="3"/>
      <c r="AP22" s="3"/>
      <c r="AQ22" s="3"/>
      <c r="AR22" s="3"/>
      <c r="AS22" s="3"/>
      <c r="AT22" s="3"/>
      <c r="AU22" s="3"/>
      <c r="AV22" s="3"/>
      <c r="AW22" s="3"/>
      <c r="AX22" s="16">
        <f>W24</f>
        <v>137251</v>
      </c>
      <c r="AY22" s="17">
        <f>W25</f>
        <v>137220</v>
      </c>
      <c r="AZ22" s="18">
        <f>W26</f>
        <v>137398</v>
      </c>
      <c r="BA22" s="19">
        <v>1E-3</v>
      </c>
      <c r="BB22" s="20">
        <f>ABS(BE21-BD21)</f>
        <v>0.29089165610648138</v>
      </c>
      <c r="BC22" s="3">
        <f>ABS(BD21-BE20)</f>
        <v>0.41056864977036867</v>
      </c>
      <c r="BD22" s="3">
        <f>ABS(AX21-BD21)</f>
        <v>0.48160489977038878</v>
      </c>
      <c r="BE22" s="21">
        <f>ABS(BD22-BB22)</f>
        <v>0.19071324366390741</v>
      </c>
      <c r="BF22" s="22">
        <f>IF(BE22&gt;BC22,BE21,BC23)</f>
        <v>138.14126444416914</v>
      </c>
      <c r="BG22" s="23">
        <f>(BE21+BE22)</f>
        <v>137.32696375</v>
      </c>
      <c r="BH22" s="24">
        <f>(BE20+BE21+BD21+BE22*3)/3</f>
        <v>137.26989219585246</v>
      </c>
      <c r="BI22" s="3"/>
      <c r="BJ22" s="3"/>
      <c r="BK22" s="3"/>
      <c r="BL22" s="3"/>
      <c r="BM22" s="3"/>
      <c r="BN22" s="3"/>
      <c r="BO22" s="3"/>
      <c r="BP22" s="3"/>
      <c r="BQ22" s="3"/>
      <c r="BR22" s="7"/>
      <c r="BS22" s="7"/>
      <c r="BT22" s="7"/>
      <c r="BU22" s="7"/>
      <c r="BV22" s="7"/>
      <c r="BW22" s="7"/>
      <c r="BX22" s="7"/>
      <c r="BY22" s="797"/>
      <c r="BZ22" s="797"/>
      <c r="CA22" s="797"/>
      <c r="CB22" s="797"/>
      <c r="CC22" s="797"/>
      <c r="CD22" s="797"/>
      <c r="CE22" s="797"/>
      <c r="CF22" s="797"/>
      <c r="CG22" s="797"/>
      <c r="CH22" s="797"/>
      <c r="CI22" s="797"/>
      <c r="CJ22" s="797"/>
      <c r="CK22" s="797"/>
      <c r="CL22" s="797"/>
      <c r="CM22" s="797"/>
      <c r="CN22" s="797"/>
      <c r="CO22" s="797"/>
      <c r="CP22" s="797"/>
      <c r="CQ22" s="797"/>
      <c r="CR22" s="797"/>
      <c r="CS22" s="797"/>
      <c r="CT22" s="797"/>
      <c r="CU22" s="797"/>
    </row>
    <row r="23" spans="1:99" x14ac:dyDescent="0.25">
      <c r="A23" s="53" t="s">
        <v>25</v>
      </c>
      <c r="B23" s="53" t="s">
        <v>26</v>
      </c>
      <c r="C23" s="63" t="s">
        <v>10</v>
      </c>
      <c r="D23" s="63" t="s">
        <v>27</v>
      </c>
      <c r="E23" s="55" t="s">
        <v>25</v>
      </c>
      <c r="F23" s="55" t="s">
        <v>28</v>
      </c>
      <c r="G23" s="37" t="s">
        <v>10</v>
      </c>
      <c r="H23" s="37" t="s">
        <v>27</v>
      </c>
      <c r="P23" s="53" t="s">
        <v>25</v>
      </c>
      <c r="Q23" s="53" t="s">
        <v>26</v>
      </c>
      <c r="R23" s="63" t="s">
        <v>10</v>
      </c>
      <c r="S23" s="63" t="s">
        <v>27</v>
      </c>
      <c r="T23" s="55" t="s">
        <v>25</v>
      </c>
      <c r="U23" s="55" t="s">
        <v>28</v>
      </c>
      <c r="V23" s="37" t="s">
        <v>10</v>
      </c>
      <c r="W23" s="37" t="s">
        <v>27</v>
      </c>
      <c r="AD23" s="3">
        <f>(AF20+AM22+AN22)/3</f>
        <v>137.70034657849507</v>
      </c>
      <c r="AE23" s="26">
        <f>INT(AK21^0.5)</f>
        <v>11</v>
      </c>
      <c r="AF23" s="3">
        <f>((AE23*AG23+AH23/360)^2+AE23^2)/2</f>
        <v>67.809596338169456</v>
      </c>
      <c r="AG23" s="3">
        <v>0.1</v>
      </c>
      <c r="AH23" s="27">
        <f>AK22*10000</f>
        <v>980.46190316097181</v>
      </c>
      <c r="AI23" s="28">
        <f>(AD23+(AF23/100))</f>
        <v>138.37844254187678</v>
      </c>
      <c r="AJ23" s="2"/>
      <c r="AK23" s="2"/>
      <c r="AL23" s="34" t="str">
        <f>IF(AK22&gt;AI22,"sell","buy")</f>
        <v>sell</v>
      </c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>
        <f>(AZ20+BG22+BH22)/3</f>
        <v>137.33161864861748</v>
      </c>
      <c r="AY23" s="26">
        <f>INT(BE21^0.5)</f>
        <v>11</v>
      </c>
      <c r="AZ23" s="3">
        <f>((AY23*BA23+BB23/360)^2+AY23^2)/2</f>
        <v>80.96457955516604</v>
      </c>
      <c r="BA23" s="3">
        <v>0.1</v>
      </c>
      <c r="BB23" s="27">
        <f>BE22*10000</f>
        <v>1907.1324366390741</v>
      </c>
      <c r="BC23" s="28">
        <f>(AX23+(AZ23/100))</f>
        <v>138.14126444416914</v>
      </c>
      <c r="BD23" s="2"/>
      <c r="BE23" s="2"/>
      <c r="BF23" s="34" t="str">
        <f>IF(BE22&gt;BC22,"sell","buy")</f>
        <v>buy</v>
      </c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7"/>
      <c r="BS23" s="7"/>
      <c r="BT23" s="7"/>
      <c r="BU23" s="7"/>
      <c r="BV23" s="7"/>
      <c r="BW23" s="7"/>
      <c r="BX23" s="7"/>
      <c r="BY23" s="797"/>
      <c r="BZ23" s="797"/>
      <c r="CA23" s="797"/>
      <c r="CB23" s="797"/>
      <c r="CC23" s="797"/>
      <c r="CD23" s="797"/>
      <c r="CE23" s="797"/>
      <c r="CF23" s="797"/>
      <c r="CG23" s="797"/>
      <c r="CH23" s="797"/>
      <c r="CI23" s="797"/>
      <c r="CJ23" s="797"/>
      <c r="CK23" s="797"/>
      <c r="CL23" s="797"/>
      <c r="CM23" s="797"/>
      <c r="CN23" s="797"/>
      <c r="CO23" s="797"/>
      <c r="CP23" s="797"/>
      <c r="CQ23" s="797"/>
      <c r="CR23" s="797"/>
      <c r="CS23" s="797"/>
      <c r="CT23" s="797"/>
      <c r="CU23" s="797"/>
    </row>
    <row r="24" spans="1:99" x14ac:dyDescent="0.25">
      <c r="A24" s="61">
        <v>134323</v>
      </c>
      <c r="B24" s="59">
        <v>133323</v>
      </c>
      <c r="C24" s="64" t="s">
        <v>15</v>
      </c>
      <c r="D24" s="65">
        <v>131985</v>
      </c>
      <c r="E24" s="60">
        <v>166027</v>
      </c>
      <c r="F24" s="52">
        <v>165662</v>
      </c>
      <c r="G24" s="55" t="s">
        <v>29</v>
      </c>
      <c r="H24" s="60">
        <v>165839</v>
      </c>
      <c r="P24" s="61">
        <v>172401</v>
      </c>
      <c r="Q24" s="59">
        <v>171886</v>
      </c>
      <c r="R24" s="64" t="s">
        <v>15</v>
      </c>
      <c r="S24" s="65">
        <v>172433</v>
      </c>
      <c r="T24" s="60">
        <v>137974</v>
      </c>
      <c r="U24" s="52">
        <v>137497</v>
      </c>
      <c r="V24" s="55" t="s">
        <v>29</v>
      </c>
      <c r="W24" s="60">
        <v>137251</v>
      </c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97"/>
      <c r="BZ24" s="797"/>
      <c r="CA24" s="797"/>
      <c r="CB24" s="797"/>
      <c r="CC24" s="797"/>
      <c r="CD24" s="797"/>
      <c r="CE24" s="797"/>
      <c r="CF24" s="797"/>
      <c r="CG24" s="797"/>
      <c r="CH24" s="797"/>
      <c r="CI24" s="797"/>
      <c r="CJ24" s="797"/>
      <c r="CK24" s="797"/>
      <c r="CL24" s="797"/>
      <c r="CM24" s="797"/>
      <c r="CN24" s="797"/>
      <c r="CO24" s="797"/>
      <c r="CP24" s="797"/>
      <c r="CQ24" s="797"/>
      <c r="CR24" s="797"/>
      <c r="CS24" s="797"/>
      <c r="CT24" s="797"/>
      <c r="CU24" s="797"/>
    </row>
    <row r="25" spans="1:99" x14ac:dyDescent="0.25">
      <c r="A25" s="53" t="s">
        <v>30</v>
      </c>
      <c r="B25" s="53" t="s">
        <v>31</v>
      </c>
      <c r="C25" s="64" t="s">
        <v>21</v>
      </c>
      <c r="D25" s="66">
        <v>131879</v>
      </c>
      <c r="E25" s="55" t="s">
        <v>30</v>
      </c>
      <c r="F25" s="55" t="s">
        <v>31</v>
      </c>
      <c r="G25" s="55" t="s">
        <v>32</v>
      </c>
      <c r="H25" s="52">
        <v>165758</v>
      </c>
      <c r="P25" s="53" t="s">
        <v>30</v>
      </c>
      <c r="Q25" s="53" t="s">
        <v>31</v>
      </c>
      <c r="R25" s="64" t="s">
        <v>21</v>
      </c>
      <c r="S25" s="66">
        <v>172368</v>
      </c>
      <c r="T25" s="55" t="s">
        <v>30</v>
      </c>
      <c r="U25" s="55" t="s">
        <v>31</v>
      </c>
      <c r="V25" s="55" t="s">
        <v>32</v>
      </c>
      <c r="W25" s="52">
        <v>137220</v>
      </c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97"/>
      <c r="BZ25" s="797"/>
      <c r="CA25" s="797"/>
      <c r="CB25" s="797"/>
      <c r="CC25" s="797"/>
      <c r="CD25" s="797"/>
      <c r="CE25" s="797"/>
      <c r="CF25" s="797"/>
      <c r="CG25" s="797"/>
      <c r="CH25" s="797"/>
      <c r="CI25" s="797"/>
      <c r="CJ25" s="797"/>
      <c r="CK25" s="797"/>
      <c r="CL25" s="797"/>
      <c r="CM25" s="797"/>
      <c r="CN25" s="797"/>
      <c r="CO25" s="797"/>
      <c r="CP25" s="797"/>
      <c r="CQ25" s="797"/>
      <c r="CR25" s="797"/>
      <c r="CS25" s="797"/>
      <c r="CT25" s="797"/>
      <c r="CU25" s="797"/>
    </row>
    <row r="26" spans="1:99" x14ac:dyDescent="0.25">
      <c r="A26" s="61">
        <v>134443</v>
      </c>
      <c r="B26" s="59">
        <v>133665</v>
      </c>
      <c r="C26" s="64" t="s">
        <v>25</v>
      </c>
      <c r="D26" s="65">
        <v>132102</v>
      </c>
      <c r="E26" s="60">
        <v>166709</v>
      </c>
      <c r="F26" s="52">
        <v>165921</v>
      </c>
      <c r="G26" s="55" t="s">
        <v>33</v>
      </c>
      <c r="H26" s="60">
        <v>165973</v>
      </c>
      <c r="P26" s="61">
        <v>172317</v>
      </c>
      <c r="Q26" s="59">
        <v>170967</v>
      </c>
      <c r="R26" s="64" t="s">
        <v>25</v>
      </c>
      <c r="S26" s="65">
        <v>172564</v>
      </c>
      <c r="T26" s="60">
        <v>137694</v>
      </c>
      <c r="U26" s="52">
        <v>137046</v>
      </c>
      <c r="V26" s="55" t="s">
        <v>33</v>
      </c>
      <c r="W26" s="60">
        <v>137398</v>
      </c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97"/>
      <c r="BZ26" s="797"/>
      <c r="CA26" s="797"/>
      <c r="CB26" s="797"/>
      <c r="CC26" s="797"/>
      <c r="CD26" s="797"/>
      <c r="CE26" s="797"/>
      <c r="CF26" s="797"/>
      <c r="CG26" s="797"/>
      <c r="CH26" s="797"/>
      <c r="CI26" s="797"/>
      <c r="CJ26" s="797"/>
      <c r="CK26" s="797"/>
      <c r="CL26" s="797"/>
      <c r="CM26" s="797"/>
      <c r="CN26" s="797"/>
      <c r="CO26" s="797"/>
      <c r="CP26" s="797"/>
      <c r="CQ26" s="797"/>
      <c r="CR26" s="797"/>
      <c r="CS26" s="797"/>
      <c r="CT26" s="797"/>
      <c r="CU26" s="797"/>
    </row>
    <row r="27" spans="1:99" x14ac:dyDescent="0.25">
      <c r="A27" s="67" t="s">
        <v>34</v>
      </c>
      <c r="B27" s="68" t="s">
        <v>3</v>
      </c>
      <c r="C27" s="69" t="s">
        <v>3</v>
      </c>
      <c r="D27" s="69">
        <v>1.0000000000000001E-5</v>
      </c>
      <c r="E27" s="42" t="s">
        <v>34</v>
      </c>
      <c r="F27" s="42" t="s">
        <v>3</v>
      </c>
      <c r="G27" s="38" t="s">
        <v>3</v>
      </c>
      <c r="H27" s="38">
        <v>1.0000000000000001E-5</v>
      </c>
      <c r="P27" s="67" t="s">
        <v>34</v>
      </c>
      <c r="Q27" s="68" t="s">
        <v>3</v>
      </c>
      <c r="R27" s="69" t="s">
        <v>3</v>
      </c>
      <c r="S27" s="69">
        <v>1E-3</v>
      </c>
      <c r="T27" s="42" t="s">
        <v>34</v>
      </c>
      <c r="U27" s="42" t="s">
        <v>3</v>
      </c>
      <c r="V27" s="38" t="s">
        <v>3</v>
      </c>
      <c r="W27" s="70">
        <v>1.0000000000000001E-5</v>
      </c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97"/>
      <c r="BZ27" s="797"/>
      <c r="CA27" s="797"/>
      <c r="CB27" s="797"/>
      <c r="CC27" s="797"/>
      <c r="CD27" s="797"/>
      <c r="CE27" s="797"/>
      <c r="CF27" s="797"/>
      <c r="CG27" s="797"/>
      <c r="CH27" s="797"/>
      <c r="CI27" s="797"/>
      <c r="CJ27" s="797"/>
      <c r="CK27" s="797"/>
      <c r="CL27" s="797"/>
      <c r="CM27" s="797"/>
      <c r="CN27" s="797"/>
      <c r="CO27" s="797"/>
      <c r="CP27" s="797"/>
      <c r="CQ27" s="797"/>
      <c r="CR27" s="797"/>
      <c r="CS27" s="797"/>
      <c r="CT27" s="797"/>
      <c r="CU27" s="797"/>
    </row>
    <row r="28" spans="1:99" x14ac:dyDescent="0.25">
      <c r="A28" s="71">
        <f>H33</f>
        <v>1</v>
      </c>
      <c r="B28" s="67">
        <v>777</v>
      </c>
      <c r="C28" s="69" t="s">
        <v>15</v>
      </c>
      <c r="D28" s="72">
        <f>A38</f>
        <v>1.3198500000000002</v>
      </c>
      <c r="E28" s="41">
        <f>AT33</f>
        <v>1</v>
      </c>
      <c r="F28" s="42">
        <v>787</v>
      </c>
      <c r="G28" s="38" t="s">
        <v>29</v>
      </c>
      <c r="H28" s="73">
        <f>AM38</f>
        <v>1.65839</v>
      </c>
      <c r="P28" s="71">
        <f>H255</f>
        <v>1</v>
      </c>
      <c r="Q28" s="67">
        <v>1349</v>
      </c>
      <c r="R28" s="69" t="s">
        <v>15</v>
      </c>
      <c r="S28" s="74">
        <f>A260</f>
        <v>172.43299999999999</v>
      </c>
      <c r="T28" s="41">
        <f>AT255</f>
        <v>1</v>
      </c>
      <c r="U28" s="42">
        <v>647</v>
      </c>
      <c r="V28" s="38" t="s">
        <v>29</v>
      </c>
      <c r="W28" s="75">
        <f>AM260</f>
        <v>1.3725100000000001</v>
      </c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97"/>
      <c r="BZ28" s="797"/>
      <c r="CA28" s="797"/>
      <c r="CB28" s="797"/>
      <c r="CC28" s="797"/>
      <c r="CD28" s="797"/>
      <c r="CE28" s="797"/>
      <c r="CF28" s="797"/>
      <c r="CG28" s="797"/>
      <c r="CH28" s="797"/>
      <c r="CI28" s="797"/>
      <c r="CJ28" s="797"/>
      <c r="CK28" s="797"/>
      <c r="CL28" s="797"/>
      <c r="CM28" s="797"/>
      <c r="CN28" s="797"/>
      <c r="CO28" s="797"/>
      <c r="CP28" s="797"/>
      <c r="CQ28" s="797"/>
      <c r="CR28" s="797"/>
      <c r="CS28" s="797"/>
      <c r="CT28" s="797"/>
      <c r="CU28" s="797"/>
    </row>
    <row r="29" spans="1:99" x14ac:dyDescent="0.25">
      <c r="A29" s="71">
        <f>H34</f>
        <v>1</v>
      </c>
      <c r="B29" s="67">
        <v>1785</v>
      </c>
      <c r="C29" s="69" t="s">
        <v>21</v>
      </c>
      <c r="D29" s="72">
        <f>B38</f>
        <v>1.3187900000000001</v>
      </c>
      <c r="E29" s="41">
        <f>AT34</f>
        <v>1</v>
      </c>
      <c r="F29" s="42">
        <v>613</v>
      </c>
      <c r="G29" s="38" t="s">
        <v>21</v>
      </c>
      <c r="H29" s="73">
        <f>AN38</f>
        <v>1.6575800000000001</v>
      </c>
      <c r="P29" s="71">
        <f>H256</f>
        <v>1</v>
      </c>
      <c r="Q29" s="67">
        <v>387</v>
      </c>
      <c r="R29" s="69" t="s">
        <v>21</v>
      </c>
      <c r="S29" s="74">
        <f>B260</f>
        <v>172.36799999999999</v>
      </c>
      <c r="T29" s="77">
        <f>AT256</f>
        <v>1</v>
      </c>
      <c r="U29" s="42">
        <v>486</v>
      </c>
      <c r="V29" s="38" t="s">
        <v>21</v>
      </c>
      <c r="W29" s="75">
        <f>AN260</f>
        <v>1.3722000000000001</v>
      </c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97"/>
      <c r="BZ29" s="797"/>
      <c r="CA29" s="797"/>
      <c r="CB29" s="797"/>
      <c r="CC29" s="797"/>
      <c r="CD29" s="797"/>
      <c r="CE29" s="797"/>
      <c r="CF29" s="797"/>
      <c r="CG29" s="797"/>
      <c r="CH29" s="797"/>
      <c r="CI29" s="797"/>
      <c r="CJ29" s="797"/>
      <c r="CK29" s="797"/>
      <c r="CL29" s="797"/>
      <c r="CM29" s="797"/>
      <c r="CN29" s="797"/>
      <c r="CO29" s="797"/>
      <c r="CP29" s="797"/>
      <c r="CQ29" s="797"/>
      <c r="CR29" s="797"/>
      <c r="CS29" s="797"/>
      <c r="CT29" s="797"/>
      <c r="CU29" s="797"/>
    </row>
    <row r="30" spans="1:99" x14ac:dyDescent="0.25">
      <c r="A30" s="76">
        <f>H35</f>
        <v>0.98315870101214387</v>
      </c>
      <c r="B30" s="67">
        <v>433</v>
      </c>
      <c r="C30" s="69" t="s">
        <v>25</v>
      </c>
      <c r="D30" s="72">
        <f>C38</f>
        <v>1.3210200000000001</v>
      </c>
      <c r="E30" s="77">
        <f>AT35</f>
        <v>0.77827333207824267</v>
      </c>
      <c r="F30" s="42">
        <v>235</v>
      </c>
      <c r="G30" s="38" t="s">
        <v>25</v>
      </c>
      <c r="H30" s="73">
        <f>AO38</f>
        <v>1.6597300000000001</v>
      </c>
      <c r="P30" s="76">
        <f>H257</f>
        <v>0.65620758026489057</v>
      </c>
      <c r="Q30" s="67">
        <v>511</v>
      </c>
      <c r="R30" s="69" t="s">
        <v>25</v>
      </c>
      <c r="S30" s="74">
        <f>C260</f>
        <v>172.56399999999999</v>
      </c>
      <c r="T30" s="77">
        <f>AT257</f>
        <v>0.65244885787251405</v>
      </c>
      <c r="U30" s="42">
        <v>-92</v>
      </c>
      <c r="V30" s="38" t="s">
        <v>25</v>
      </c>
      <c r="W30" s="75">
        <f>AO260</f>
        <v>1.3739800000000002</v>
      </c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97"/>
      <c r="BZ30" s="797"/>
      <c r="CA30" s="797"/>
      <c r="CB30" s="797"/>
      <c r="CC30" s="797"/>
      <c r="CD30" s="797"/>
      <c r="CE30" s="797"/>
      <c r="CF30" s="797"/>
      <c r="CG30" s="797"/>
      <c r="CH30" s="797"/>
      <c r="CI30" s="797"/>
      <c r="CJ30" s="797"/>
      <c r="CK30" s="797"/>
      <c r="CL30" s="797"/>
      <c r="CM30" s="797"/>
      <c r="CN30" s="797"/>
      <c r="CO30" s="797"/>
      <c r="CP30" s="797"/>
      <c r="CQ30" s="797"/>
      <c r="CR30" s="797"/>
      <c r="CS30" s="797"/>
      <c r="CT30" s="797"/>
      <c r="CU30" s="797"/>
    </row>
    <row r="31" spans="1:99" x14ac:dyDescent="0.25">
      <c r="A31" s="71">
        <f>H36</f>
        <v>0.51631382765481248</v>
      </c>
      <c r="B31" s="67">
        <v>36</v>
      </c>
      <c r="C31" s="78" t="str">
        <f>IF(D31&gt;D52,"long","short")</f>
        <v>short</v>
      </c>
      <c r="D31" s="79">
        <f>(H39+A40)/2</f>
        <v>1.3157980192177614</v>
      </c>
      <c r="E31" s="41">
        <f>AT36</f>
        <v>0.1531002779956907</v>
      </c>
      <c r="F31" s="42">
        <v>0</v>
      </c>
      <c r="G31" s="80" t="str">
        <f>IF(H31&gt;AP52,"long","short")</f>
        <v>short</v>
      </c>
      <c r="H31" s="81">
        <f>(AT39+AM40)/2</f>
        <v>1.6532086729663207</v>
      </c>
      <c r="P31" s="71">
        <f>H258</f>
        <v>0.22400012551224791</v>
      </c>
      <c r="Q31" s="67">
        <v>39</v>
      </c>
      <c r="R31" s="78" t="str">
        <f>IF(S31&gt;D274,"long","short")</f>
        <v>short</v>
      </c>
      <c r="S31" s="79">
        <f>(H261+A262)/2</f>
        <v>172.32309399835495</v>
      </c>
      <c r="T31" s="41">
        <f>AT258</f>
        <v>0.75559880147920921</v>
      </c>
      <c r="U31" s="42">
        <v>39</v>
      </c>
      <c r="V31" s="80" t="str">
        <f>IF(W31&gt;AP274,"long","short")</f>
        <v>short</v>
      </c>
      <c r="W31" s="82">
        <f>(AT261+AM262)/0.02</f>
        <v>136.59172807029341</v>
      </c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97"/>
      <c r="BZ31" s="797"/>
      <c r="CA31" s="797"/>
      <c r="CB31" s="797"/>
      <c r="CC31" s="797"/>
      <c r="CD31" s="797"/>
      <c r="CE31" s="797"/>
      <c r="CF31" s="797"/>
      <c r="CG31" s="797"/>
      <c r="CH31" s="797"/>
      <c r="CI31" s="797"/>
      <c r="CJ31" s="797"/>
      <c r="CK31" s="797"/>
      <c r="CL31" s="797"/>
      <c r="CM31" s="797"/>
      <c r="CN31" s="797"/>
      <c r="CO31" s="797"/>
      <c r="CP31" s="797"/>
      <c r="CQ31" s="797"/>
      <c r="CR31" s="797"/>
      <c r="CS31" s="797"/>
      <c r="CT31" s="797"/>
      <c r="CU31" s="797"/>
    </row>
    <row r="32" spans="1:99" x14ac:dyDescent="0.25">
      <c r="A32" s="83" t="s">
        <v>35</v>
      </c>
      <c r="B32" s="83" t="s">
        <v>36</v>
      </c>
      <c r="C32" s="84" t="s">
        <v>37</v>
      </c>
      <c r="D32" s="85" t="s">
        <v>10</v>
      </c>
      <c r="E32" s="85" t="s">
        <v>27</v>
      </c>
      <c r="F32" s="86" t="s">
        <v>38</v>
      </c>
      <c r="G32" s="86" t="s">
        <v>39</v>
      </c>
      <c r="H32" s="87" t="s">
        <v>40</v>
      </c>
      <c r="I32" s="87" t="s">
        <v>41</v>
      </c>
      <c r="J32" s="88" t="s">
        <v>42</v>
      </c>
      <c r="K32" s="88" t="s">
        <v>41</v>
      </c>
      <c r="L32" s="89" t="s">
        <v>43</v>
      </c>
      <c r="M32" s="90" t="str">
        <f>IF((G37+G36+G33+F35+F33+D36)&gt;=3,"Long","Short")</f>
        <v>Long</v>
      </c>
      <c r="N32" s="91">
        <f>(B63)</f>
        <v>134531.95536217405</v>
      </c>
      <c r="O32" s="91">
        <f>(B89)</f>
        <v>131296.76511527138</v>
      </c>
      <c r="P32" s="88">
        <f>(N32+N33+N34+N35+N36+N37)/6</f>
        <v>134242.90084390272</v>
      </c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3" t="s">
        <v>35</v>
      </c>
      <c r="AN32" s="83" t="s">
        <v>36</v>
      </c>
      <c r="AO32" s="84" t="s">
        <v>37</v>
      </c>
      <c r="AP32" s="85" t="s">
        <v>10</v>
      </c>
      <c r="AQ32" s="85" t="s">
        <v>27</v>
      </c>
      <c r="AR32" s="86" t="s">
        <v>38</v>
      </c>
      <c r="AS32" s="86" t="s">
        <v>39</v>
      </c>
      <c r="AT32" s="87" t="s">
        <v>40</v>
      </c>
      <c r="AU32" s="87" t="s">
        <v>41</v>
      </c>
      <c r="AV32" s="88" t="s">
        <v>42</v>
      </c>
      <c r="AW32" s="88" t="s">
        <v>41</v>
      </c>
      <c r="AX32" s="89" t="s">
        <v>43</v>
      </c>
      <c r="AY32" s="90" t="str">
        <f>IF((AS37+AS36+AS33+AR35+AR33+AP36)&gt;=3,"Long","Short")</f>
        <v>Long</v>
      </c>
      <c r="AZ32" s="91">
        <f>(AN63)</f>
        <v>166320.55989072111</v>
      </c>
      <c r="BA32" s="91">
        <f>(AN89)</f>
        <v>163886.90011406798</v>
      </c>
      <c r="BB32" s="88">
        <f>(AZ32+AZ33+AZ34+AZ35+AZ36+AZ37)/6</f>
        <v>165658.9167468634</v>
      </c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88"/>
      <c r="BQ32" s="88"/>
      <c r="BR32" s="88"/>
      <c r="BS32" s="88"/>
      <c r="BT32" s="88"/>
      <c r="BU32" s="88"/>
      <c r="BV32" s="88"/>
      <c r="BW32" s="88"/>
      <c r="BX32" s="88"/>
      <c r="BY32" s="797"/>
      <c r="BZ32" s="797"/>
      <c r="CA32" s="797"/>
      <c r="CB32" s="797"/>
      <c r="CC32" s="797"/>
      <c r="CD32" s="797"/>
      <c r="CE32" s="797"/>
      <c r="CF32" s="797"/>
      <c r="CG32" s="797"/>
      <c r="CH32" s="797"/>
      <c r="CI32" s="797"/>
      <c r="CJ32" s="797"/>
      <c r="CK32" s="797"/>
      <c r="CL32" s="797"/>
      <c r="CM32" s="797"/>
      <c r="CN32" s="797"/>
      <c r="CO32" s="797"/>
      <c r="CP32" s="797"/>
      <c r="CQ32" s="797"/>
      <c r="CR32" s="797"/>
      <c r="CS32" s="797"/>
      <c r="CT32" s="797"/>
      <c r="CU32" s="797"/>
    </row>
    <row r="33" spans="1:99" ht="15.75" thickBot="1" x14ac:dyDescent="0.3">
      <c r="A33" s="83">
        <f>A20</f>
        <v>133988</v>
      </c>
      <c r="B33" s="83">
        <f>B20</f>
        <v>132202</v>
      </c>
      <c r="C33" s="84">
        <v>1</v>
      </c>
      <c r="D33" s="34">
        <f>D24</f>
        <v>131985</v>
      </c>
      <c r="E33" s="85">
        <v>1</v>
      </c>
      <c r="F33" s="92" t="str">
        <f>(D61)</f>
        <v>0</v>
      </c>
      <c r="G33" s="93" t="str">
        <f>G46</f>
        <v>1</v>
      </c>
      <c r="H33" s="94">
        <f>L74</f>
        <v>1</v>
      </c>
      <c r="I33" s="87">
        <f>B28</f>
        <v>777</v>
      </c>
      <c r="J33" s="95">
        <f>L72</f>
        <v>0.80000000000291038</v>
      </c>
      <c r="K33" s="88">
        <f>D13</f>
        <v>-40216</v>
      </c>
      <c r="L33" s="96">
        <f>B37</f>
        <v>133566.11261715702</v>
      </c>
      <c r="M33" s="89">
        <f>(A37+B37)/2</f>
        <v>133083.26797720802</v>
      </c>
      <c r="N33" s="91">
        <f>(A72)</f>
        <v>134546.40190335887</v>
      </c>
      <c r="O33" s="91">
        <f>(A98)</f>
        <v>131320.16110707566</v>
      </c>
      <c r="P33" s="88">
        <f>(O32+O33+O34+O35+O36+O37)/6</f>
        <v>131416.6501258974</v>
      </c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3">
        <f>E20</f>
        <v>165973</v>
      </c>
      <c r="AN33" s="83">
        <f>F20</f>
        <v>165359</v>
      </c>
      <c r="AO33" s="84">
        <v>1</v>
      </c>
      <c r="AP33" s="34">
        <f>H24</f>
        <v>165839</v>
      </c>
      <c r="AQ33" s="85">
        <v>1</v>
      </c>
      <c r="AR33" s="92" t="str">
        <f>(AP61)</f>
        <v>1</v>
      </c>
      <c r="AS33" s="93" t="str">
        <f>AS46</f>
        <v>1</v>
      </c>
      <c r="AT33" s="94">
        <f>AX74</f>
        <v>1</v>
      </c>
      <c r="AU33" s="87">
        <f>F28</f>
        <v>787</v>
      </c>
      <c r="AV33" s="95">
        <f>AX72</f>
        <v>0.5</v>
      </c>
      <c r="AW33" s="88">
        <f>H13</f>
        <v>-49894</v>
      </c>
      <c r="AX33" s="96">
        <f>AN37</f>
        <v>165634.34760079236</v>
      </c>
      <c r="AY33" s="89">
        <f>(AM37+AN37)/2</f>
        <v>165261.50550798693</v>
      </c>
      <c r="AZ33" s="91">
        <f>(AM72)</f>
        <v>166342.85233761533</v>
      </c>
      <c r="BA33" s="91">
        <f>(AM98)</f>
        <v>163909.88560563157</v>
      </c>
      <c r="BB33" s="88">
        <f>(BA32+BA33+BA34+BA35+BA36+BA37)/6</f>
        <v>163979.82844881425</v>
      </c>
      <c r="BC33" s="88"/>
      <c r="BD33" s="88"/>
      <c r="BE33" s="88"/>
      <c r="BF33" s="88"/>
      <c r="BG33" s="88"/>
      <c r="BH33" s="88"/>
      <c r="BI33" s="88"/>
      <c r="BJ33" s="88"/>
      <c r="BK33" s="88"/>
      <c r="BL33" s="88"/>
      <c r="BM33" s="88"/>
      <c r="BN33" s="88"/>
      <c r="BO33" s="88"/>
      <c r="BP33" s="88"/>
      <c r="BQ33" s="88"/>
      <c r="BR33" s="88"/>
      <c r="BS33" s="88"/>
      <c r="BT33" s="88"/>
      <c r="BU33" s="88"/>
      <c r="BV33" s="88"/>
      <c r="BW33" s="88"/>
      <c r="BX33" s="88"/>
      <c r="BY33" s="797"/>
      <c r="BZ33" s="797"/>
      <c r="CA33" s="797"/>
      <c r="CB33" s="797"/>
      <c r="CC33" s="797"/>
      <c r="CD33" s="797"/>
      <c r="CE33" s="797"/>
      <c r="CF33" s="797"/>
      <c r="CG33" s="797"/>
      <c r="CH33" s="797"/>
      <c r="CI33" s="797"/>
      <c r="CJ33" s="797"/>
      <c r="CK33" s="797"/>
      <c r="CL33" s="797"/>
      <c r="CM33" s="797"/>
      <c r="CN33" s="797"/>
      <c r="CO33" s="797"/>
      <c r="CP33" s="797"/>
      <c r="CQ33" s="797"/>
      <c r="CR33" s="797"/>
      <c r="CS33" s="797"/>
      <c r="CT33" s="797"/>
      <c r="CU33" s="797"/>
    </row>
    <row r="34" spans="1:99" x14ac:dyDescent="0.25">
      <c r="A34" s="83">
        <f>A22</f>
        <v>134149</v>
      </c>
      <c r="B34" s="83">
        <f>B22</f>
        <v>133357</v>
      </c>
      <c r="C34" s="84">
        <v>2</v>
      </c>
      <c r="D34" s="34">
        <f>D25</f>
        <v>131879</v>
      </c>
      <c r="E34" s="85">
        <v>2</v>
      </c>
      <c r="F34" s="86" t="s">
        <v>44</v>
      </c>
      <c r="G34" s="97">
        <f>H45</f>
        <v>1.3355084849065508</v>
      </c>
      <c r="H34" s="94">
        <f>D64</f>
        <v>1</v>
      </c>
      <c r="I34" s="87">
        <f>B29</f>
        <v>1785</v>
      </c>
      <c r="J34" s="95">
        <f>D66</f>
        <v>0.5</v>
      </c>
      <c r="K34" s="88">
        <f>D14</f>
        <v>-39928</v>
      </c>
      <c r="L34" s="98">
        <f>A40</f>
        <v>1.3178144539298908</v>
      </c>
      <c r="M34" s="99">
        <f>(B63+F76+A72+B89+F102)/5</f>
        <v>133309.72806279227</v>
      </c>
      <c r="N34" s="100">
        <f>(F76)</f>
        <v>134459.02998628383</v>
      </c>
      <c r="O34" s="91">
        <f>(F102)</f>
        <v>131714.4879468733</v>
      </c>
      <c r="P34" s="6">
        <f>(P33+P32)/2</f>
        <v>132829.77548490005</v>
      </c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/>
      <c r="AM34" s="83">
        <f>E22</f>
        <v>165975</v>
      </c>
      <c r="AN34" s="83">
        <f>F22</f>
        <v>165605</v>
      </c>
      <c r="AO34" s="84">
        <v>2</v>
      </c>
      <c r="AP34" s="34">
        <f>H25</f>
        <v>165758</v>
      </c>
      <c r="AQ34" s="85">
        <v>2</v>
      </c>
      <c r="AR34" s="86" t="s">
        <v>44</v>
      </c>
      <c r="AS34" s="97">
        <f>AT45</f>
        <v>1.6530179054253225</v>
      </c>
      <c r="AT34" s="94">
        <f>AP64</f>
        <v>1</v>
      </c>
      <c r="AU34" s="87">
        <f>F29</f>
        <v>613</v>
      </c>
      <c r="AV34" s="95">
        <f>AP66</f>
        <v>0.20000000000436557</v>
      </c>
      <c r="AW34" s="88">
        <f>H14</f>
        <v>-49699</v>
      </c>
      <c r="AX34" s="98">
        <f>AM40</f>
        <v>1.6558871276190945</v>
      </c>
      <c r="AY34" s="99">
        <f>(AN63+AR76+AM72+AN89+AR102)/5</f>
        <v>165409.14402312427</v>
      </c>
      <c r="AZ34" s="100">
        <f>(AR76)</f>
        <v>166281.80137826898</v>
      </c>
      <c r="BA34" s="91">
        <f>(AR102)</f>
        <v>164213.60639494791</v>
      </c>
      <c r="BB34" s="6">
        <f>(BB33+BB32)/2</f>
        <v>164819.37259783881</v>
      </c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88"/>
      <c r="BQ34" s="88"/>
      <c r="BR34" s="88"/>
      <c r="BS34" s="88"/>
      <c r="BT34" s="88"/>
      <c r="BU34" s="88"/>
      <c r="BV34" s="88"/>
      <c r="BW34" s="88"/>
      <c r="BX34" s="88"/>
      <c r="BY34" s="797"/>
      <c r="BZ34" s="797"/>
      <c r="CA34" s="797"/>
      <c r="CB34" s="797"/>
      <c r="CC34" s="797"/>
      <c r="CD34" s="797"/>
      <c r="CE34" s="797"/>
      <c r="CF34" s="797"/>
      <c r="CG34" s="797"/>
      <c r="CH34" s="797"/>
      <c r="CI34" s="797"/>
      <c r="CJ34" s="797"/>
      <c r="CK34" s="797"/>
      <c r="CL34" s="797"/>
      <c r="CM34" s="797"/>
      <c r="CN34" s="797"/>
      <c r="CO34" s="797"/>
      <c r="CP34" s="797"/>
      <c r="CQ34" s="797"/>
      <c r="CR34" s="797"/>
      <c r="CS34" s="797"/>
      <c r="CT34" s="797"/>
      <c r="CU34" s="797"/>
    </row>
    <row r="35" spans="1:99" x14ac:dyDescent="0.25">
      <c r="A35" s="83">
        <f>A24</f>
        <v>134323</v>
      </c>
      <c r="B35" s="83">
        <f>B24</f>
        <v>133323</v>
      </c>
      <c r="C35" s="84">
        <v>3</v>
      </c>
      <c r="D35" s="34">
        <f>D26</f>
        <v>132102</v>
      </c>
      <c r="E35" s="85">
        <v>3</v>
      </c>
      <c r="F35" s="92" t="str">
        <f>F61</f>
        <v>0</v>
      </c>
      <c r="G35" s="86">
        <f>A46</f>
        <v>1.3369821454220758</v>
      </c>
      <c r="H35" s="101">
        <f>F64</f>
        <v>0.98315870101214387</v>
      </c>
      <c r="I35" s="87">
        <f>B30</f>
        <v>433</v>
      </c>
      <c r="J35" s="95">
        <f>F66</f>
        <v>0.87113051470078062</v>
      </c>
      <c r="K35" s="88">
        <f>D15</f>
        <v>-40031</v>
      </c>
      <c r="L35" s="102">
        <f>H39</f>
        <v>1.313781584505632</v>
      </c>
      <c r="M35" s="103">
        <f>(F75+A63+A71+A89+F101)/5</f>
        <v>132953.66865813758</v>
      </c>
      <c r="N35" s="91">
        <f>(A63)</f>
        <v>133953.02382439794</v>
      </c>
      <c r="O35" s="91">
        <f>A89</f>
        <v>131213.59142172744</v>
      </c>
      <c r="P35" s="91">
        <f>ABS(B37-P34)</f>
        <v>736.33713225697284</v>
      </c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3">
        <f>E24</f>
        <v>166027</v>
      </c>
      <c r="AN35" s="83">
        <f>F24</f>
        <v>165662</v>
      </c>
      <c r="AO35" s="84">
        <v>3</v>
      </c>
      <c r="AP35" s="34">
        <f>H26</f>
        <v>165973</v>
      </c>
      <c r="AQ35" s="85">
        <v>3</v>
      </c>
      <c r="AR35" s="92" t="str">
        <f>AR61</f>
        <v>0</v>
      </c>
      <c r="AS35" s="86">
        <f>AM46</f>
        <v>1.656511030429054</v>
      </c>
      <c r="AT35" s="101">
        <f>AR64</f>
        <v>0.77827333207824267</v>
      </c>
      <c r="AU35" s="87">
        <f>F30</f>
        <v>235</v>
      </c>
      <c r="AV35" s="95">
        <f>AR66</f>
        <v>0.82622112536773784</v>
      </c>
      <c r="AW35" s="88">
        <f>H15</f>
        <v>-49724</v>
      </c>
      <c r="AX35" s="102">
        <f>AT39</f>
        <v>1.6505302183135471</v>
      </c>
      <c r="AY35" s="103">
        <f>(AR75+AM63+AM71+AM89+AR101)/5</f>
        <v>164593.39596943627</v>
      </c>
      <c r="AZ35" s="91">
        <f>(AM63)</f>
        <v>164903.69194579308</v>
      </c>
      <c r="BA35" s="91">
        <f>AM89</f>
        <v>163815.71374303583</v>
      </c>
      <c r="BB35" s="91">
        <f>ABS(AN37-BB34)</f>
        <v>814.97500295354985</v>
      </c>
      <c r="BC35" s="88"/>
      <c r="BD35" s="88"/>
      <c r="BE35" s="88"/>
      <c r="BF35" s="88"/>
      <c r="BG35" s="88"/>
      <c r="BH35" s="88"/>
      <c r="BI35" s="88"/>
      <c r="BJ35" s="88"/>
      <c r="BK35" s="88"/>
      <c r="BL35" s="88"/>
      <c r="BM35" s="88"/>
      <c r="BN35" s="88"/>
      <c r="BO35" s="88"/>
      <c r="BP35" s="88"/>
      <c r="BQ35" s="88"/>
      <c r="BR35" s="88"/>
      <c r="BS35" s="88"/>
      <c r="BT35" s="88"/>
      <c r="BU35" s="88"/>
      <c r="BV35" s="88"/>
      <c r="BW35" s="88"/>
      <c r="BX35" s="88"/>
      <c r="BY35" s="797"/>
      <c r="BZ35" s="797"/>
      <c r="CA35" s="797"/>
      <c r="CB35" s="797"/>
      <c r="CC35" s="797"/>
      <c r="CD35" s="797"/>
      <c r="CE35" s="797"/>
      <c r="CF35" s="797"/>
      <c r="CG35" s="797"/>
      <c r="CH35" s="797"/>
      <c r="CI35" s="797"/>
      <c r="CJ35" s="797"/>
      <c r="CK35" s="797"/>
      <c r="CL35" s="797"/>
      <c r="CM35" s="797"/>
      <c r="CN35" s="797"/>
      <c r="CO35" s="797"/>
      <c r="CP35" s="797"/>
      <c r="CQ35" s="797"/>
      <c r="CR35" s="797"/>
      <c r="CS35" s="797"/>
      <c r="CT35" s="797"/>
      <c r="CU35" s="797"/>
    </row>
    <row r="36" spans="1:99" x14ac:dyDescent="0.25">
      <c r="A36" s="83">
        <f>A26</f>
        <v>134443</v>
      </c>
      <c r="B36" s="83">
        <f>B26</f>
        <v>133665</v>
      </c>
      <c r="C36" s="84">
        <v>4</v>
      </c>
      <c r="D36" s="104" t="str">
        <f>G40</f>
        <v>1</v>
      </c>
      <c r="E36" s="105">
        <f>H39</f>
        <v>1.313781584505632</v>
      </c>
      <c r="F36" s="86">
        <v>1000</v>
      </c>
      <c r="G36" s="97" t="str">
        <f>IF((H45-G45)-(A46-G45)&gt;0,"0","1")</f>
        <v>1</v>
      </c>
      <c r="H36" s="94">
        <f>H64</f>
        <v>0.51631382765481248</v>
      </c>
      <c r="I36" s="87">
        <f>B31</f>
        <v>36</v>
      </c>
      <c r="J36" s="95">
        <f>H66</f>
        <v>0.48711894914595177</v>
      </c>
      <c r="K36" s="88">
        <f>D16</f>
        <v>-39943</v>
      </c>
      <c r="L36" s="106">
        <f>A37</f>
        <v>132600.42333725898</v>
      </c>
      <c r="M36" s="89" t="s">
        <v>45</v>
      </c>
      <c r="N36" s="91">
        <f>(A71)</f>
        <v>133950.59855802753</v>
      </c>
      <c r="O36" s="91">
        <f>A98</f>
        <v>131320.16110707566</v>
      </c>
      <c r="P36" s="107">
        <f>ABS(A37-P34)</f>
        <v>229.35214764106786</v>
      </c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/>
      <c r="AM36" s="83">
        <f>E26</f>
        <v>166709</v>
      </c>
      <c r="AN36" s="83">
        <f>F26</f>
        <v>165921</v>
      </c>
      <c r="AO36" s="84">
        <v>4</v>
      </c>
      <c r="AP36" s="104" t="str">
        <f>AS40</f>
        <v>1</v>
      </c>
      <c r="AQ36" s="105">
        <f>AT39</f>
        <v>1.6505302183135471</v>
      </c>
      <c r="AR36" s="86">
        <v>1000</v>
      </c>
      <c r="AS36" s="97" t="str">
        <f>IF((AT45-AS45)-(AM46-AS45)&gt;0,"0","1")</f>
        <v>1</v>
      </c>
      <c r="AT36" s="94">
        <f>AT64</f>
        <v>0.1531002779956907</v>
      </c>
      <c r="AU36" s="87">
        <f>F31</f>
        <v>0</v>
      </c>
      <c r="AV36" s="95">
        <f>AT66</f>
        <v>0.51263691669737455</v>
      </c>
      <c r="AW36" s="88">
        <f>H16</f>
        <v>-49670</v>
      </c>
      <c r="AX36" s="106">
        <f>AM37</f>
        <v>164888.66341518148</v>
      </c>
      <c r="AY36" s="89" t="s">
        <v>45</v>
      </c>
      <c r="AZ36" s="91">
        <f>(AM71)</f>
        <v>164898.95780370169</v>
      </c>
      <c r="BA36" s="91">
        <f>AM98</f>
        <v>163909.88560563157</v>
      </c>
      <c r="BB36" s="107">
        <f>ABS(AM37-BB34)</f>
        <v>69.29081734266947</v>
      </c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88"/>
      <c r="BQ36" s="88"/>
      <c r="BR36" s="88"/>
      <c r="BS36" s="88"/>
      <c r="BT36" s="88"/>
      <c r="BU36" s="88"/>
      <c r="BV36" s="88"/>
      <c r="BW36" s="88"/>
      <c r="BX36" s="88"/>
      <c r="BY36" s="797"/>
      <c r="BZ36" s="797"/>
      <c r="CA36" s="797"/>
      <c r="CB36" s="797"/>
      <c r="CC36" s="797"/>
      <c r="CD36" s="797"/>
      <c r="CE36" s="797"/>
      <c r="CF36" s="797"/>
      <c r="CG36" s="797"/>
      <c r="CH36" s="797"/>
      <c r="CI36" s="797"/>
      <c r="CJ36" s="797"/>
      <c r="CK36" s="797"/>
      <c r="CL36" s="797"/>
      <c r="CM36" s="797"/>
      <c r="CN36" s="797"/>
      <c r="CO36" s="797"/>
      <c r="CP36" s="797"/>
      <c r="CQ36" s="797"/>
      <c r="CR36" s="797"/>
      <c r="CS36" s="797"/>
      <c r="CT36" s="797"/>
      <c r="CU36" s="797"/>
    </row>
    <row r="37" spans="1:99" ht="15.75" thickBot="1" x14ac:dyDescent="0.3">
      <c r="A37" s="108">
        <f>(G68+G67)/2</f>
        <v>132600.42333725898</v>
      </c>
      <c r="B37" s="93">
        <f>G68</f>
        <v>133566.11261715702</v>
      </c>
      <c r="C37" s="109">
        <f>D21</f>
        <v>-1</v>
      </c>
      <c r="D37" s="110">
        <f>A40</f>
        <v>1.3178144539298908</v>
      </c>
      <c r="E37" s="111">
        <f>(E36-D37)</f>
        <v>-4.0328694242588448E-3</v>
      </c>
      <c r="F37" s="93" t="s">
        <v>13</v>
      </c>
      <c r="G37" s="97" t="str">
        <f>G55</f>
        <v>1</v>
      </c>
      <c r="H37" s="94">
        <f>(H36+H35+H34+H33)</f>
        <v>3.4994725286669564</v>
      </c>
      <c r="I37" s="87" t="str">
        <f>IF((H37)&lt;4,"RIGTH","WRONG")</f>
        <v>RIGTH</v>
      </c>
      <c r="J37" s="88" t="str">
        <f>IF((J36+J35++J34+J33)&gt;0,"RIGTH","WRONG")</f>
        <v>RIGTH</v>
      </c>
      <c r="K37" s="112">
        <v>-920.01499999999999</v>
      </c>
      <c r="L37" s="102">
        <f>G39</f>
        <v>1.3029677414316847</v>
      </c>
      <c r="M37" s="102">
        <f>Q125</f>
        <v>133.02670327132293</v>
      </c>
      <c r="N37" s="100">
        <f>(F75)</f>
        <v>134016.39542917412</v>
      </c>
      <c r="O37" s="91">
        <f>(F101)</f>
        <v>131634.73405736094</v>
      </c>
      <c r="P37" s="113" t="str">
        <f>IF(P35&gt;P36,"short","long")</f>
        <v>short</v>
      </c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108">
        <f>(AS68+AS67)/2</f>
        <v>164888.66341518148</v>
      </c>
      <c r="AN37" s="93">
        <f>AS68</f>
        <v>165634.34760079236</v>
      </c>
      <c r="AO37" s="109">
        <f>H21</f>
        <v>-1</v>
      </c>
      <c r="AP37" s="110">
        <f>AM40</f>
        <v>1.6558871276190945</v>
      </c>
      <c r="AQ37" s="111">
        <f>(AQ36-AP37)</f>
        <v>-5.3569093055474415E-3</v>
      </c>
      <c r="AR37" s="93" t="s">
        <v>13</v>
      </c>
      <c r="AS37" s="97" t="str">
        <f>AS55</f>
        <v>1</v>
      </c>
      <c r="AT37" s="94">
        <f>(AT36+AT35+AT34+AT33)</f>
        <v>2.9313736100739334</v>
      </c>
      <c r="AU37" s="87" t="str">
        <f>IF((AT37)&lt;4,"RIGTH","WRONG")</f>
        <v>RIGTH</v>
      </c>
      <c r="AV37" s="88" t="str">
        <f>IF((AV36+AV35++AV34+AV33)&gt;0,"RIGTH","WRONG")</f>
        <v>RIGTH</v>
      </c>
      <c r="AW37" s="112">
        <v>-920.01499999999999</v>
      </c>
      <c r="AX37" s="102">
        <f>AS39</f>
        <v>1.6365614619361251</v>
      </c>
      <c r="AY37" s="102">
        <f>BC125</f>
        <v>165.1948568608523</v>
      </c>
      <c r="AZ37" s="100">
        <f>(AR75)</f>
        <v>165205.63712508016</v>
      </c>
      <c r="BA37" s="91">
        <f>(AR101)</f>
        <v>164142.9792295706</v>
      </c>
      <c r="BB37" s="113" t="str">
        <f>IF(BB35&gt;BB36,"short","long")</f>
        <v>short</v>
      </c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88"/>
      <c r="BQ37" s="88"/>
      <c r="BR37" s="88"/>
      <c r="BS37" s="88"/>
      <c r="BT37" s="88"/>
      <c r="BU37" s="88"/>
      <c r="BV37" s="88"/>
      <c r="BW37" s="88"/>
      <c r="BX37" s="88"/>
      <c r="BY37" s="797"/>
      <c r="BZ37" s="797"/>
      <c r="CA37" s="797"/>
      <c r="CB37" s="797"/>
      <c r="CC37" s="797"/>
      <c r="CD37" s="797"/>
      <c r="CE37" s="797"/>
      <c r="CF37" s="797"/>
      <c r="CG37" s="797"/>
      <c r="CH37" s="797"/>
      <c r="CI37" s="797"/>
      <c r="CJ37" s="797"/>
      <c r="CK37" s="797"/>
      <c r="CL37" s="797"/>
      <c r="CM37" s="797"/>
      <c r="CN37" s="797"/>
      <c r="CO37" s="797"/>
      <c r="CP37" s="797"/>
      <c r="CQ37" s="797"/>
      <c r="CR37" s="797"/>
      <c r="CS37" s="797"/>
      <c r="CT37" s="797"/>
      <c r="CU37" s="797"/>
    </row>
    <row r="38" spans="1:99" ht="15.75" thickBot="1" x14ac:dyDescent="0.3">
      <c r="A38" s="114">
        <f>(J41*A42)</f>
        <v>1.3198500000000002</v>
      </c>
      <c r="B38" s="115">
        <f>(K41*A42)</f>
        <v>1.3187900000000001</v>
      </c>
      <c r="C38" s="114">
        <f>(L41*A42)</f>
        <v>1.3210200000000001</v>
      </c>
      <c r="D38" s="116">
        <f>((A38+B38)/2)+((B38+C38)/2)</f>
        <v>2.6392250000000006</v>
      </c>
      <c r="E38" s="116">
        <f>(A38-B38)^2</f>
        <v>1.1236000000001291E-6</v>
      </c>
      <c r="F38" s="116">
        <f>(C38-B38)^2*N40</f>
        <v>4.9728999999997961E-6</v>
      </c>
      <c r="G38" s="117">
        <f>J39</f>
        <v>2.6392189035000007</v>
      </c>
      <c r="H38" s="118">
        <f>(G38/2)</f>
        <v>1.3196094517500003</v>
      </c>
      <c r="I38" s="116">
        <f>(A38/B38)</f>
        <v>1.0008037670895291</v>
      </c>
      <c r="J38" s="116">
        <f>(C38/B38)</f>
        <v>1.0016909439713677</v>
      </c>
      <c r="K38" s="116">
        <f>I38^0.5</f>
        <v>1.0004018028220107</v>
      </c>
      <c r="L38" s="116">
        <f>J38^0.5</f>
        <v>1.0008451148761071</v>
      </c>
      <c r="M38" s="119">
        <f>INT(K38)-E39</f>
        <v>0</v>
      </c>
      <c r="N38" s="119">
        <f>INT(L38)-E39</f>
        <v>0</v>
      </c>
      <c r="O38" s="119">
        <f>(M38+45/360)^2</f>
        <v>1.5625E-2</v>
      </c>
      <c r="P38" s="119">
        <f>(N38+45/360)^2</f>
        <v>1.5625E-2</v>
      </c>
      <c r="Q38" s="119">
        <f>(O38+P38)/3</f>
        <v>1.0416666666666666E-2</v>
      </c>
      <c r="R38" s="119">
        <f>(Q38*4)</f>
        <v>4.1666666666666664E-2</v>
      </c>
      <c r="S38" s="119">
        <f>R38/3</f>
        <v>1.3888888888888888E-2</v>
      </c>
      <c r="T38" s="120">
        <f>(G39+H38)/2</f>
        <v>1.3112885965908425</v>
      </c>
      <c r="U38" s="119"/>
      <c r="V38" s="119"/>
      <c r="W38" s="119"/>
      <c r="X38" s="119"/>
      <c r="Y38" s="119"/>
      <c r="Z38" s="119"/>
      <c r="AA38" s="119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114">
        <f>(AV41*AM42)</f>
        <v>1.65839</v>
      </c>
      <c r="AN38" s="115">
        <f>(AW41*AM42)</f>
        <v>1.6575800000000001</v>
      </c>
      <c r="AO38" s="114">
        <f>(AX41*AM42)</f>
        <v>1.6597300000000001</v>
      </c>
      <c r="AP38" s="116">
        <f>((AM38+AN38)/2)+((AN38+AO38)/2)</f>
        <v>3.31664</v>
      </c>
      <c r="AQ38" s="116">
        <f>(AM38-AN38)^2</f>
        <v>6.5609999999996342E-7</v>
      </c>
      <c r="AR38" s="116">
        <f>(AO38-AN38)^2*AZ40</f>
        <v>4.6225000000004144E-6</v>
      </c>
      <c r="AS38" s="117">
        <f>AV39</f>
        <v>3.3166347213999998</v>
      </c>
      <c r="AT38" s="118">
        <f>(AS38/2)</f>
        <v>1.6583173606999999</v>
      </c>
      <c r="AU38" s="116">
        <f>(AM38/AN38)</f>
        <v>1.0004886641972031</v>
      </c>
      <c r="AV38" s="116">
        <f>(AO38/AN38)</f>
        <v>1.0012970716345517</v>
      </c>
      <c r="AW38" s="116">
        <f>AU38^0.5</f>
        <v>1.0002443022568053</v>
      </c>
      <c r="AX38" s="116">
        <f>AV38^0.5</f>
        <v>1.0006483256541989</v>
      </c>
      <c r="AY38" s="119">
        <f>INT(AW38)-AQ39</f>
        <v>0</v>
      </c>
      <c r="AZ38" s="119">
        <f>INT(AX38)-AQ39</f>
        <v>0</v>
      </c>
      <c r="BA38" s="119">
        <f>(AY38+45/360)^2</f>
        <v>1.5625E-2</v>
      </c>
      <c r="BB38" s="119">
        <f>(AZ38+45/360)^2</f>
        <v>1.5625E-2</v>
      </c>
      <c r="BC38" s="119">
        <f>(BA38+BB38)/3</f>
        <v>1.0416666666666666E-2</v>
      </c>
      <c r="BD38" s="119">
        <f>(BC38*4)</f>
        <v>4.1666666666666664E-2</v>
      </c>
      <c r="BE38" s="119">
        <f>BD38/3</f>
        <v>1.3888888888888888E-2</v>
      </c>
      <c r="BF38" s="120">
        <f>(AS39+AT38)/2</f>
        <v>1.6474394113180626</v>
      </c>
      <c r="BG38" s="119"/>
      <c r="BH38" s="119"/>
      <c r="BI38" s="119"/>
      <c r="BJ38" s="119"/>
      <c r="BK38" s="119"/>
      <c r="BL38" s="119"/>
      <c r="BM38" s="119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797"/>
      <c r="BZ38" s="797"/>
      <c r="CA38" s="797"/>
      <c r="CB38" s="797"/>
      <c r="CC38" s="797"/>
      <c r="CD38" s="797"/>
      <c r="CE38" s="797"/>
      <c r="CF38" s="797"/>
      <c r="CG38" s="797"/>
      <c r="CH38" s="797"/>
      <c r="CI38" s="797"/>
      <c r="CJ38" s="797"/>
      <c r="CK38" s="797"/>
      <c r="CL38" s="797"/>
      <c r="CM38" s="797"/>
      <c r="CN38" s="797"/>
      <c r="CO38" s="797"/>
      <c r="CP38" s="797"/>
      <c r="CQ38" s="797"/>
      <c r="CR38" s="797"/>
      <c r="CS38" s="797"/>
      <c r="CT38" s="797"/>
      <c r="CU38" s="797"/>
    </row>
    <row r="39" spans="1:99" ht="15.75" thickBot="1" x14ac:dyDescent="0.3">
      <c r="A39" s="121">
        <f>A74</f>
        <v>-335.04112711530604</v>
      </c>
      <c r="B39" s="119">
        <f>Q38/3</f>
        <v>3.472222222222222E-3</v>
      </c>
      <c r="C39" s="119">
        <f>B39/2</f>
        <v>1.736111111111111E-3</v>
      </c>
      <c r="D39" s="122">
        <f>C39/27</f>
        <v>6.4300411522633737E-5</v>
      </c>
      <c r="E39" s="123">
        <v>1</v>
      </c>
      <c r="F39" s="116">
        <f>(F38+E38)^0.5</f>
        <v>2.4691091510907178E-3</v>
      </c>
      <c r="G39" s="124">
        <f>(H38)*((F39-C39-D39)^(B39-C39))</f>
        <v>1.3029677414316847</v>
      </c>
      <c r="H39" s="125">
        <f>(C38+A38+G39+T38)/4</f>
        <v>1.313781584505632</v>
      </c>
      <c r="I39" s="116">
        <f>E38-F38-D38</f>
        <v>-2.6392288493000007</v>
      </c>
      <c r="J39" s="116">
        <f>D38-E38-F38</f>
        <v>2.6392189035000007</v>
      </c>
      <c r="K39" s="116">
        <f>F38+E38-D38</f>
        <v>-2.6392189035000007</v>
      </c>
      <c r="L39" s="116">
        <f>F38+D38-E38</f>
        <v>2.6392288493000002</v>
      </c>
      <c r="M39" s="126">
        <v>1</v>
      </c>
      <c r="N39" s="119"/>
      <c r="O39" s="119"/>
      <c r="P39" s="119"/>
      <c r="Q39" s="119"/>
      <c r="R39" s="119"/>
      <c r="S39" s="119"/>
      <c r="T39" s="119">
        <f>(H38+T38)/2</f>
        <v>1.3154490241704213</v>
      </c>
      <c r="U39" s="119"/>
      <c r="V39" s="119"/>
      <c r="W39" s="119"/>
      <c r="X39" s="119"/>
      <c r="Y39" s="119"/>
      <c r="Z39" s="119"/>
      <c r="AA39" s="119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121">
        <f>AM74</f>
        <v>-221.91139049116279</v>
      </c>
      <c r="AN39" s="119">
        <f>BC38/3</f>
        <v>3.472222222222222E-3</v>
      </c>
      <c r="AO39" s="119">
        <f>AN39/2</f>
        <v>1.736111111111111E-3</v>
      </c>
      <c r="AP39" s="122">
        <f>AO39/27</f>
        <v>6.4300411522633737E-5</v>
      </c>
      <c r="AQ39" s="123">
        <v>1</v>
      </c>
      <c r="AR39" s="116">
        <f>(AR38+AQ38)^0.5</f>
        <v>2.297520402521026E-3</v>
      </c>
      <c r="AS39" s="124">
        <f>(AT38)*((AR39-AO39-AP39)^(AN39-AO39))</f>
        <v>1.6365614619361251</v>
      </c>
      <c r="AT39" s="125">
        <f>(AO38+AM38+AS39+BF38)/4</f>
        <v>1.6505302183135471</v>
      </c>
      <c r="AU39" s="116">
        <f>AQ38-AR38-AP38</f>
        <v>-3.3166439664</v>
      </c>
      <c r="AV39" s="116">
        <f>AP38-AQ38-AR38</f>
        <v>3.3166347213999998</v>
      </c>
      <c r="AW39" s="116">
        <f>AR38+AQ38-AP38</f>
        <v>-3.3166347213999998</v>
      </c>
      <c r="AX39" s="116">
        <f>AR38+AP38-AQ38</f>
        <v>3.3166439664</v>
      </c>
      <c r="AY39" s="126">
        <v>1</v>
      </c>
      <c r="AZ39" s="119"/>
      <c r="BA39" s="119"/>
      <c r="BB39" s="119"/>
      <c r="BC39" s="119"/>
      <c r="BD39" s="119"/>
      <c r="BE39" s="119"/>
      <c r="BF39" s="119">
        <f>(AT38+BF38)/2</f>
        <v>1.6528783860090313</v>
      </c>
      <c r="BG39" s="119"/>
      <c r="BH39" s="119"/>
      <c r="BI39" s="119"/>
      <c r="BJ39" s="119"/>
      <c r="BK39" s="119"/>
      <c r="BL39" s="119"/>
      <c r="BM39" s="119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797"/>
      <c r="BZ39" s="797"/>
      <c r="CA39" s="797"/>
      <c r="CB39" s="797"/>
      <c r="CC39" s="797"/>
      <c r="CD39" s="797"/>
      <c r="CE39" s="797"/>
      <c r="CF39" s="797"/>
      <c r="CG39" s="797"/>
      <c r="CH39" s="797"/>
      <c r="CI39" s="797"/>
      <c r="CJ39" s="797"/>
      <c r="CK39" s="797"/>
      <c r="CL39" s="797"/>
      <c r="CM39" s="797"/>
      <c r="CN39" s="797"/>
      <c r="CO39" s="797"/>
      <c r="CP39" s="797"/>
      <c r="CQ39" s="797"/>
      <c r="CR39" s="797"/>
      <c r="CS39" s="797"/>
      <c r="CT39" s="797"/>
      <c r="CU39" s="797"/>
    </row>
    <row r="40" spans="1:99" ht="15.75" thickBot="1" x14ac:dyDescent="0.3">
      <c r="A40" s="127">
        <f>(((G38+H39)/3)^0.5+D39*B40)^2</f>
        <v>1.3178144539298908</v>
      </c>
      <c r="B40" s="119">
        <v>1</v>
      </c>
      <c r="C40" s="128">
        <f>A40+H39/2</f>
        <v>1.9747052461827068</v>
      </c>
      <c r="D40" s="128">
        <f>(G39+H39)/2</f>
        <v>1.3083746629686583</v>
      </c>
      <c r="E40" s="128">
        <f>(D40+C40)/2</f>
        <v>1.6415399545756826</v>
      </c>
      <c r="F40" s="129">
        <f>(H39+I40)/2</f>
        <v>1.156890792252816</v>
      </c>
      <c r="G40" s="130" t="str">
        <f>IF(H40&gt;0,"1","0")</f>
        <v>1</v>
      </c>
      <c r="H40" s="131">
        <f>(C40-D40)</f>
        <v>0.66633058321404848</v>
      </c>
      <c r="I40" s="132">
        <f>(INT((G39/M40)^0.5)+M39*N40)^2</f>
        <v>1</v>
      </c>
      <c r="J40" s="133"/>
      <c r="K40" s="134">
        <f>(R50+S52)/2</f>
        <v>0</v>
      </c>
      <c r="L40" s="135">
        <f>((I40+H39)/2+I40)/2</f>
        <v>1.078445396126408</v>
      </c>
      <c r="M40" s="136">
        <v>100</v>
      </c>
      <c r="N40" s="137">
        <v>1</v>
      </c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127">
        <f>(((AS38+AT39)/3)^0.5+AP39*AN40)^2</f>
        <v>1.6558871276190945</v>
      </c>
      <c r="AN40" s="119">
        <v>1</v>
      </c>
      <c r="AO40" s="128">
        <f>ABS(AM40+AT39)/2</f>
        <v>1.6532086729663207</v>
      </c>
      <c r="AP40" s="128">
        <f>ABS(AS39+AT39)/2</f>
        <v>1.643545840124836</v>
      </c>
      <c r="AQ40" s="128">
        <f>ABS(AP40+AO40)/2</f>
        <v>1.6483772565455783</v>
      </c>
      <c r="AR40" s="129">
        <f>(AT39+AU40)/2</f>
        <v>1.3252651091567735</v>
      </c>
      <c r="AS40" s="130" t="str">
        <f>IF(AT40&gt;0.005,"1","0")</f>
        <v>1</v>
      </c>
      <c r="AT40" s="131">
        <f>(AO40-AP40)</f>
        <v>9.6628328414847253E-3</v>
      </c>
      <c r="AU40" s="132">
        <f>(INT((AS39/AY40)^0.5)+AY39*AZ40)^2</f>
        <v>1</v>
      </c>
      <c r="AV40" s="133"/>
      <c r="AW40" s="134">
        <f>(BD50+BE52)/2</f>
        <v>0</v>
      </c>
      <c r="AX40" s="135">
        <f>((AU40+AT39)/2+AU40)/2</f>
        <v>1.1626325545783867</v>
      </c>
      <c r="AY40" s="136">
        <v>100</v>
      </c>
      <c r="AZ40" s="137">
        <v>1</v>
      </c>
      <c r="BA40" s="119"/>
      <c r="BB40" s="119"/>
      <c r="BC40" s="119"/>
      <c r="BD40" s="119"/>
      <c r="BE40" s="119"/>
      <c r="BF40" s="119"/>
      <c r="BG40" s="119"/>
      <c r="BH40" s="119"/>
      <c r="BI40" s="119"/>
      <c r="BJ40" s="119"/>
      <c r="BK40" s="119"/>
      <c r="BL40" s="119"/>
      <c r="BM40" s="119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797"/>
      <c r="BZ40" s="797"/>
      <c r="CA40" s="797"/>
      <c r="CB40" s="797"/>
      <c r="CC40" s="797"/>
      <c r="CD40" s="797"/>
      <c r="CE40" s="797"/>
      <c r="CF40" s="797"/>
      <c r="CG40" s="797"/>
      <c r="CH40" s="797"/>
      <c r="CI40" s="797"/>
      <c r="CJ40" s="797"/>
      <c r="CK40" s="797"/>
      <c r="CL40" s="797"/>
      <c r="CM40" s="797"/>
      <c r="CN40" s="797"/>
      <c r="CO40" s="797"/>
      <c r="CP40" s="797"/>
      <c r="CQ40" s="797"/>
      <c r="CR40" s="797"/>
      <c r="CS40" s="797"/>
      <c r="CT40" s="797"/>
      <c r="CU40" s="797"/>
    </row>
    <row r="41" spans="1:99" ht="15.75" thickBot="1" x14ac:dyDescent="0.3">
      <c r="A41" s="138" t="s">
        <v>10</v>
      </c>
      <c r="B41" s="139">
        <f>(G66)</f>
        <v>133050.48174418183</v>
      </c>
      <c r="C41" s="140">
        <f>(A72+A71+G67)/3</f>
        <v>133377.24483958245</v>
      </c>
      <c r="D41" s="140">
        <f>(C41+B41)/2</f>
        <v>133213.86329188215</v>
      </c>
      <c r="E41" s="141"/>
      <c r="F41" s="141"/>
      <c r="G41" s="142"/>
      <c r="H41" s="143">
        <f>(C41)</f>
        <v>133377.24483958245</v>
      </c>
      <c r="I41" s="144">
        <f>(H41+H39)/2</f>
        <v>66689.279310583472</v>
      </c>
      <c r="J41" s="145">
        <f>D33</f>
        <v>131985</v>
      </c>
      <c r="K41" s="146">
        <f>D34</f>
        <v>131879</v>
      </c>
      <c r="L41" s="147">
        <f>D35</f>
        <v>132102</v>
      </c>
      <c r="M41" s="148"/>
      <c r="N41" s="149"/>
      <c r="O41" s="149"/>
      <c r="P41" s="149"/>
      <c r="Q41" s="149"/>
      <c r="R41" s="150"/>
      <c r="S41" s="151"/>
      <c r="T41" s="152"/>
      <c r="U41" s="153"/>
      <c r="V41" s="154"/>
      <c r="W41" s="154"/>
      <c r="X41" s="154"/>
      <c r="Y41" s="149"/>
      <c r="Z41" s="149"/>
      <c r="AA41" s="149"/>
      <c r="AB41" s="149"/>
      <c r="AC41" s="149"/>
      <c r="AD41" s="149"/>
      <c r="AE41" s="149"/>
      <c r="AF41" s="149"/>
      <c r="AG41" s="149"/>
      <c r="AH41" s="149"/>
      <c r="AI41" s="149"/>
      <c r="AJ41" s="149"/>
      <c r="AK41" s="150"/>
      <c r="AL41" s="151"/>
      <c r="AM41" s="138" t="s">
        <v>10</v>
      </c>
      <c r="AN41" s="139">
        <f>(AS66)</f>
        <v>164892.09487802154</v>
      </c>
      <c r="AO41" s="140">
        <f>(AM72+AM71+AS67)/3</f>
        <v>165128.26312362921</v>
      </c>
      <c r="AP41" s="140">
        <f>(AO41+AN41)/2</f>
        <v>165010.17900082539</v>
      </c>
      <c r="AQ41" s="141"/>
      <c r="AR41" s="141"/>
      <c r="AS41" s="142"/>
      <c r="AT41" s="143">
        <f>(AO41)</f>
        <v>165128.26312362921</v>
      </c>
      <c r="AU41" s="144">
        <f>(AT41+AT39)/2</f>
        <v>82564.956826923764</v>
      </c>
      <c r="AV41" s="145">
        <f>AP33</f>
        <v>165839</v>
      </c>
      <c r="AW41" s="146">
        <f>AP34</f>
        <v>165758</v>
      </c>
      <c r="AX41" s="147">
        <f>AP35</f>
        <v>165973</v>
      </c>
      <c r="AY41" s="148"/>
      <c r="AZ41" s="149"/>
      <c r="BA41" s="149"/>
      <c r="BB41" s="149"/>
      <c r="BC41" s="149"/>
      <c r="BD41" s="150"/>
      <c r="BE41" s="151"/>
      <c r="BF41" s="152"/>
      <c r="BG41" s="153"/>
      <c r="BH41" s="154"/>
      <c r="BI41" s="154"/>
      <c r="BJ41" s="154"/>
      <c r="BK41" s="149"/>
      <c r="BL41" s="149"/>
      <c r="BM41" s="149"/>
      <c r="BN41" s="149"/>
      <c r="BO41" s="149"/>
      <c r="BP41" s="149"/>
      <c r="BQ41" s="149"/>
      <c r="BR41" s="149"/>
      <c r="BS41" s="149"/>
      <c r="BT41" s="149"/>
      <c r="BU41" s="149"/>
      <c r="BV41" s="149"/>
      <c r="BW41" s="150"/>
      <c r="BX41" s="151"/>
      <c r="BY41" s="797"/>
      <c r="BZ41" s="797"/>
      <c r="CA41" s="797"/>
      <c r="CB41" s="797"/>
      <c r="CC41" s="797"/>
      <c r="CD41" s="797"/>
      <c r="CE41" s="797"/>
      <c r="CF41" s="797"/>
      <c r="CG41" s="797"/>
      <c r="CH41" s="797"/>
      <c r="CI41" s="797"/>
      <c r="CJ41" s="797"/>
      <c r="CK41" s="797"/>
      <c r="CL41" s="797"/>
      <c r="CM41" s="797"/>
      <c r="CN41" s="797"/>
      <c r="CO41" s="797"/>
      <c r="CP41" s="797"/>
      <c r="CQ41" s="797"/>
      <c r="CR41" s="797"/>
      <c r="CS41" s="797"/>
      <c r="CT41" s="797"/>
      <c r="CU41" s="797"/>
    </row>
    <row r="42" spans="1:99" x14ac:dyDescent="0.25">
      <c r="A42" s="155">
        <f>D27</f>
        <v>1.0000000000000001E-5</v>
      </c>
      <c r="B42" s="156"/>
      <c r="C42" s="157"/>
      <c r="D42" s="138"/>
      <c r="E42" s="138"/>
      <c r="F42" s="138"/>
      <c r="G42" s="158" t="str">
        <f>IF(H40&gt;0.005,"LONG","SHORT")</f>
        <v>LONG</v>
      </c>
      <c r="H42" s="159">
        <f>ABS(H40*1000)</f>
        <v>666.33058321404849</v>
      </c>
      <c r="I42" s="142"/>
      <c r="J42" s="160"/>
      <c r="K42" s="160"/>
      <c r="L42" s="160"/>
      <c r="M42" s="160"/>
      <c r="N42" s="161"/>
      <c r="O42" s="161"/>
      <c r="P42" s="161"/>
      <c r="Q42" s="162"/>
      <c r="R42" s="150"/>
      <c r="S42" s="151"/>
      <c r="T42" s="163"/>
      <c r="U42" s="153"/>
      <c r="V42" s="164"/>
      <c r="W42" s="154"/>
      <c r="X42" s="163"/>
      <c r="Y42" s="165"/>
      <c r="Z42" s="161"/>
      <c r="AA42" s="152"/>
      <c r="AB42" s="161"/>
      <c r="AC42" s="161"/>
      <c r="AD42" s="161"/>
      <c r="AE42" s="161"/>
      <c r="AF42" s="161"/>
      <c r="AG42" s="161"/>
      <c r="AH42" s="161"/>
      <c r="AI42" s="161"/>
      <c r="AJ42" s="162"/>
      <c r="AK42" s="150"/>
      <c r="AL42" s="151"/>
      <c r="AM42" s="155">
        <f>H27</f>
        <v>1.0000000000000001E-5</v>
      </c>
      <c r="AN42" s="156"/>
      <c r="AO42" s="157"/>
      <c r="AP42" s="138"/>
      <c r="AQ42" s="138"/>
      <c r="AR42" s="138"/>
      <c r="AS42" s="158" t="str">
        <f>IF(AT40&gt;0,"LONG","SHORT")</f>
        <v>LONG</v>
      </c>
      <c r="AT42" s="159">
        <f>ABS(AT40*1000)</f>
        <v>9.6628328414847253</v>
      </c>
      <c r="AU42" s="142"/>
      <c r="AV42" s="160"/>
      <c r="AW42" s="160"/>
      <c r="AX42" s="160"/>
      <c r="AY42" s="160"/>
      <c r="AZ42" s="161"/>
      <c r="BA42" s="161"/>
      <c r="BB42" s="161"/>
      <c r="BC42" s="162"/>
      <c r="BD42" s="150"/>
      <c r="BE42" s="151"/>
      <c r="BF42" s="163"/>
      <c r="BG42" s="153"/>
      <c r="BH42" s="164"/>
      <c r="BI42" s="154"/>
      <c r="BJ42" s="163"/>
      <c r="BK42" s="165"/>
      <c r="BL42" s="161"/>
      <c r="BM42" s="152"/>
      <c r="BN42" s="161"/>
      <c r="BO42" s="161"/>
      <c r="BP42" s="161"/>
      <c r="BQ42" s="161"/>
      <c r="BR42" s="161"/>
      <c r="BS42" s="161"/>
      <c r="BT42" s="161"/>
      <c r="BU42" s="161"/>
      <c r="BV42" s="162"/>
      <c r="BW42" s="150"/>
      <c r="BX42" s="151"/>
      <c r="BY42" s="797"/>
      <c r="BZ42" s="797"/>
      <c r="CA42" s="797"/>
      <c r="CB42" s="797"/>
      <c r="CC42" s="797"/>
      <c r="CD42" s="797"/>
      <c r="CE42" s="797"/>
      <c r="CF42" s="797"/>
      <c r="CG42" s="797"/>
      <c r="CH42" s="797"/>
      <c r="CI42" s="797"/>
      <c r="CJ42" s="797"/>
      <c r="CK42" s="797"/>
      <c r="CL42" s="797"/>
      <c r="CM42" s="797"/>
      <c r="CN42" s="797"/>
      <c r="CO42" s="797"/>
      <c r="CP42" s="797"/>
      <c r="CQ42" s="797"/>
      <c r="CR42" s="797"/>
      <c r="CS42" s="797"/>
      <c r="CT42" s="797"/>
      <c r="CU42" s="797"/>
    </row>
    <row r="43" spans="1:99" x14ac:dyDescent="0.25">
      <c r="A43" s="166"/>
      <c r="B43" s="167"/>
      <c r="C43" s="168"/>
      <c r="D43" s="168"/>
      <c r="E43" s="168"/>
      <c r="F43" s="168"/>
      <c r="G43" s="169"/>
      <c r="H43" s="170"/>
      <c r="I43" s="160"/>
      <c r="J43" s="160"/>
      <c r="K43" s="160"/>
      <c r="L43" s="160"/>
      <c r="M43" s="160"/>
      <c r="N43" s="161"/>
      <c r="O43" s="161"/>
      <c r="P43" s="161"/>
      <c r="Q43" s="149"/>
      <c r="R43" s="171"/>
      <c r="S43" s="151"/>
      <c r="T43" s="163"/>
      <c r="U43" s="172"/>
      <c r="V43" s="154"/>
      <c r="W43" s="154"/>
      <c r="X43" s="173"/>
      <c r="Y43" s="174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49"/>
      <c r="AK43" s="171"/>
      <c r="AL43" s="151"/>
      <c r="AM43" s="166"/>
      <c r="AN43" s="167"/>
      <c r="AO43" s="168"/>
      <c r="AP43" s="168"/>
      <c r="AQ43" s="168"/>
      <c r="AR43" s="168"/>
      <c r="AS43" s="169"/>
      <c r="AT43" s="170"/>
      <c r="AU43" s="160"/>
      <c r="AV43" s="160"/>
      <c r="AW43" s="160"/>
      <c r="AX43" s="160"/>
      <c r="AY43" s="160"/>
      <c r="AZ43" s="161"/>
      <c r="BA43" s="161"/>
      <c r="BB43" s="161"/>
      <c r="BC43" s="149"/>
      <c r="BD43" s="171"/>
      <c r="BE43" s="151"/>
      <c r="BF43" s="163"/>
      <c r="BG43" s="172"/>
      <c r="BH43" s="154"/>
      <c r="BI43" s="154"/>
      <c r="BJ43" s="173"/>
      <c r="BK43" s="174"/>
      <c r="BL43" s="161"/>
      <c r="BM43" s="161"/>
      <c r="BN43" s="161"/>
      <c r="BO43" s="161"/>
      <c r="BP43" s="161"/>
      <c r="BQ43" s="161"/>
      <c r="BR43" s="161"/>
      <c r="BS43" s="161"/>
      <c r="BT43" s="161"/>
      <c r="BU43" s="161"/>
      <c r="BV43" s="149"/>
      <c r="BW43" s="171"/>
      <c r="BX43" s="151"/>
      <c r="BY43" s="797"/>
      <c r="BZ43" s="797"/>
      <c r="CA43" s="797"/>
      <c r="CB43" s="797"/>
      <c r="CC43" s="797"/>
      <c r="CD43" s="797"/>
      <c r="CE43" s="797"/>
      <c r="CF43" s="797"/>
      <c r="CG43" s="797"/>
      <c r="CH43" s="797"/>
      <c r="CI43" s="797"/>
      <c r="CJ43" s="797"/>
      <c r="CK43" s="797"/>
      <c r="CL43" s="797"/>
      <c r="CM43" s="797"/>
      <c r="CN43" s="797"/>
      <c r="CO43" s="797"/>
      <c r="CP43" s="797"/>
      <c r="CQ43" s="797"/>
      <c r="CR43" s="797"/>
      <c r="CS43" s="797"/>
      <c r="CT43" s="797"/>
      <c r="CU43" s="797"/>
    </row>
    <row r="44" spans="1:99" ht="15.75" thickBot="1" x14ac:dyDescent="0.3">
      <c r="A44" s="175">
        <f>J47*A49</f>
        <v>1.3398800000000002</v>
      </c>
      <c r="B44" s="176">
        <f>(K47)*A49</f>
        <v>1.3335700000000001</v>
      </c>
      <c r="C44" s="175">
        <f>(L47)*A49</f>
        <v>1.3432300000000001</v>
      </c>
      <c r="D44" s="116">
        <f>((A44+B44)/2)+((B44+C44)/2)</f>
        <v>2.6751250000000004</v>
      </c>
      <c r="E44" s="116">
        <f>(A44-B44)^2</f>
        <v>3.9816100000000474E-5</v>
      </c>
      <c r="F44" s="116">
        <f>(C44-B44)^2*N46</f>
        <v>9.3315600000000039E-5</v>
      </c>
      <c r="G44" s="177">
        <f>J45</f>
        <v>2.6749918683000002</v>
      </c>
      <c r="H44" s="178">
        <f>(G44/2)</f>
        <v>1.3374959341500001</v>
      </c>
      <c r="I44" s="116">
        <f>(A44/B44)</f>
        <v>1.0047316601303269</v>
      </c>
      <c r="J44" s="116">
        <f>(C44/B44)</f>
        <v>1.0072437142407222</v>
      </c>
      <c r="K44" s="116">
        <f>I44^0.5</f>
        <v>1.0023630380906545</v>
      </c>
      <c r="L44" s="116">
        <f>J44^0.5</f>
        <v>1.003615321844342</v>
      </c>
      <c r="M44" s="119">
        <f>INT(K44)-E45</f>
        <v>0</v>
      </c>
      <c r="N44" s="119">
        <f>INT(L44)-E45</f>
        <v>0</v>
      </c>
      <c r="O44" s="119">
        <f>(M44+45/360)^2</f>
        <v>1.5625E-2</v>
      </c>
      <c r="P44" s="119">
        <f>(N44+45/360)^2</f>
        <v>1.5625E-2</v>
      </c>
      <c r="Q44" s="119">
        <f>(O44+P44)/3</f>
        <v>1.0416666666666666E-2</v>
      </c>
      <c r="R44" s="119">
        <f>(Q44*4)</f>
        <v>4.1666666666666664E-2</v>
      </c>
      <c r="S44" s="119">
        <f>R44/3</f>
        <v>1.3888888888888888E-2</v>
      </c>
      <c r="T44" s="120">
        <f>(G45+H44)/2</f>
        <v>1.3321399579254012</v>
      </c>
      <c r="U44" s="153"/>
      <c r="V44" s="154"/>
      <c r="W44" s="154"/>
      <c r="X44" s="163"/>
      <c r="Y44" s="174"/>
      <c r="Z44" s="161"/>
      <c r="AA44" s="152"/>
      <c r="AB44" s="161"/>
      <c r="AC44" s="161"/>
      <c r="AD44" s="161"/>
      <c r="AE44" s="161"/>
      <c r="AF44" s="161"/>
      <c r="AG44" s="161"/>
      <c r="AH44" s="161"/>
      <c r="AI44" s="152"/>
      <c r="AJ44" s="162"/>
      <c r="AK44" s="150"/>
      <c r="AL44" s="151"/>
      <c r="AM44" s="175">
        <f>AV47*AM49</f>
        <v>1.6597300000000001</v>
      </c>
      <c r="AN44" s="176">
        <f>(AW47)*AM49</f>
        <v>1.6560500000000002</v>
      </c>
      <c r="AO44" s="175">
        <f>(AX47)*AM49</f>
        <v>1.6602700000000001</v>
      </c>
      <c r="AP44" s="116">
        <f>((AM44+AN44)/2)+((AN44+AO44)/2)</f>
        <v>3.3160500000000002</v>
      </c>
      <c r="AQ44" s="116">
        <f>(AM44-AN44)^2</f>
        <v>1.3542399999999305E-5</v>
      </c>
      <c r="AR44" s="116">
        <f>(AO44-AN44)^2*AZ46</f>
        <v>1.7808399999999076E-5</v>
      </c>
      <c r="AS44" s="177">
        <f>AV45</f>
        <v>3.3160186492000001</v>
      </c>
      <c r="AT44" s="178">
        <f>(AS44/2)</f>
        <v>1.6580093246000001</v>
      </c>
      <c r="AU44" s="116">
        <f>(AM44/AN44)</f>
        <v>1.0022221551281663</v>
      </c>
      <c r="AV44" s="116">
        <f>(AO44/AN44)</f>
        <v>1.0025482322393646</v>
      </c>
      <c r="AW44" s="116">
        <f>AU44^0.5</f>
        <v>1.0011104610022643</v>
      </c>
      <c r="AX44" s="116">
        <f>AV44^0.5</f>
        <v>1.001273305466277</v>
      </c>
      <c r="AY44" s="119">
        <f>INT(AW44)-AQ45</f>
        <v>0</v>
      </c>
      <c r="AZ44" s="119">
        <f>INT(AX44)-AQ45</f>
        <v>0</v>
      </c>
      <c r="BA44" s="119">
        <f>(AY44+45/360)^2</f>
        <v>1.5625E-2</v>
      </c>
      <c r="BB44" s="119">
        <f>(AZ44+45/360)^2</f>
        <v>1.5625E-2</v>
      </c>
      <c r="BC44" s="119">
        <f>(BA44+BB44)/3</f>
        <v>1.0416666666666666E-2</v>
      </c>
      <c r="BD44" s="119">
        <f>(BC44*4)</f>
        <v>4.1666666666666664E-2</v>
      </c>
      <c r="BE44" s="119">
        <f>BD44/3</f>
        <v>1.3888888888888888E-2</v>
      </c>
      <c r="BF44" s="120">
        <f>(AS45+AT44)/2</f>
        <v>1.6500269821004299</v>
      </c>
      <c r="BG44" s="153"/>
      <c r="BH44" s="154"/>
      <c r="BI44" s="154"/>
      <c r="BJ44" s="163"/>
      <c r="BK44" s="174"/>
      <c r="BL44" s="161"/>
      <c r="BM44" s="152"/>
      <c r="BN44" s="161"/>
      <c r="BO44" s="161"/>
      <c r="BP44" s="161"/>
      <c r="BQ44" s="161"/>
      <c r="BR44" s="161"/>
      <c r="BS44" s="161"/>
      <c r="BT44" s="161"/>
      <c r="BU44" s="152"/>
      <c r="BV44" s="162"/>
      <c r="BW44" s="150"/>
      <c r="BX44" s="151"/>
      <c r="BY44" s="797"/>
      <c r="BZ44" s="797"/>
      <c r="CA44" s="797"/>
      <c r="CB44" s="797"/>
      <c r="CC44" s="797"/>
      <c r="CD44" s="797"/>
      <c r="CE44" s="797"/>
      <c r="CF44" s="797"/>
      <c r="CG44" s="797"/>
      <c r="CH44" s="797"/>
      <c r="CI44" s="797"/>
      <c r="CJ44" s="797"/>
      <c r="CK44" s="797"/>
      <c r="CL44" s="797"/>
      <c r="CM44" s="797"/>
      <c r="CN44" s="797"/>
      <c r="CO44" s="797"/>
      <c r="CP44" s="797"/>
      <c r="CQ44" s="797"/>
      <c r="CR44" s="797"/>
      <c r="CS44" s="797"/>
      <c r="CT44" s="797"/>
      <c r="CU44" s="797"/>
    </row>
    <row r="45" spans="1:99" ht="15.75" thickBot="1" x14ac:dyDescent="0.3">
      <c r="A45" s="11" t="s">
        <v>46</v>
      </c>
      <c r="B45" s="119">
        <f>Q44/3</f>
        <v>3.472222222222222E-3</v>
      </c>
      <c r="C45" s="119">
        <f>B45/2</f>
        <v>1.736111111111111E-3</v>
      </c>
      <c r="D45" s="122">
        <f>C45/27</f>
        <v>6.4300411522633737E-5</v>
      </c>
      <c r="E45" s="123">
        <v>1</v>
      </c>
      <c r="F45" s="116">
        <f>(F44+E44)^0.5</f>
        <v>1.153827110099258E-2</v>
      </c>
      <c r="G45" s="179">
        <f>(H44)*((F45-C45-D45)^(B45-C45))</f>
        <v>1.3267839817008023</v>
      </c>
      <c r="H45" s="125">
        <f>(C44+A44+G45+T44)/4</f>
        <v>1.3355084849065508</v>
      </c>
      <c r="I45" s="116">
        <f>E44-F44-D44</f>
        <v>-2.6751784995000003</v>
      </c>
      <c r="J45" s="116">
        <f>D44-E44-F44</f>
        <v>2.6749918683000002</v>
      </c>
      <c r="K45" s="116">
        <f>F44+E44-D44</f>
        <v>-2.6749918683000002</v>
      </c>
      <c r="L45" s="116">
        <f>F44+D44-E44</f>
        <v>2.6751784995000003</v>
      </c>
      <c r="M45" s="126">
        <v>1</v>
      </c>
      <c r="N45" s="119"/>
      <c r="O45" s="119"/>
      <c r="P45" s="119"/>
      <c r="Q45" s="119"/>
      <c r="R45" s="119"/>
      <c r="S45" s="119"/>
      <c r="T45" s="119">
        <f>(H44+T44)/2</f>
        <v>1.3348179460377008</v>
      </c>
      <c r="U45" s="180"/>
      <c r="V45" s="163"/>
      <c r="W45" s="154"/>
      <c r="X45" s="154"/>
      <c r="Y45" s="161"/>
      <c r="Z45" s="161"/>
      <c r="AA45" s="161"/>
      <c r="AB45" s="161"/>
      <c r="AC45" s="161"/>
      <c r="AD45" s="161"/>
      <c r="AE45" s="161"/>
      <c r="AF45" s="161"/>
      <c r="AG45" s="162"/>
      <c r="AH45" s="152"/>
      <c r="AI45" s="152"/>
      <c r="AJ45" s="162"/>
      <c r="AK45" s="171"/>
      <c r="AL45" s="151"/>
      <c r="AM45" s="11" t="s">
        <v>46</v>
      </c>
      <c r="AN45" s="119">
        <f>BC44/3</f>
        <v>3.472222222222222E-3</v>
      </c>
      <c r="AO45" s="119">
        <f>AN45/2</f>
        <v>1.736111111111111E-3</v>
      </c>
      <c r="AP45" s="122">
        <f>AO45/27</f>
        <v>6.4300411522633737E-5</v>
      </c>
      <c r="AQ45" s="123">
        <v>1</v>
      </c>
      <c r="AR45" s="116">
        <f>(AR44+AQ44)^0.5</f>
        <v>5.5991785111745079E-3</v>
      </c>
      <c r="AS45" s="179">
        <f>(AT44)*((AR45-AO45-AP45)^(AN45-AO45))</f>
        <v>1.6420446396008594</v>
      </c>
      <c r="AT45" s="125">
        <f>(AO44+AM44+AS45+BF44)/4</f>
        <v>1.6530179054253225</v>
      </c>
      <c r="AU45" s="116">
        <f>AQ44-AR44-AP44</f>
        <v>-3.3160542660000001</v>
      </c>
      <c r="AV45" s="116">
        <f>AP44-AQ44-AR44</f>
        <v>3.3160186492000001</v>
      </c>
      <c r="AW45" s="116">
        <f>AR44+AQ44-AP44</f>
        <v>-3.3160186492000001</v>
      </c>
      <c r="AX45" s="116">
        <f>AR44+AP44-AQ44</f>
        <v>3.3160542660000001</v>
      </c>
      <c r="AY45" s="126">
        <v>1</v>
      </c>
      <c r="AZ45" s="119"/>
      <c r="BA45" s="119"/>
      <c r="BB45" s="119"/>
      <c r="BC45" s="119"/>
      <c r="BD45" s="119"/>
      <c r="BE45" s="119"/>
      <c r="BF45" s="119">
        <f>(AT44+BF44)/2</f>
        <v>1.654018153350215</v>
      </c>
      <c r="BG45" s="180"/>
      <c r="BH45" s="163"/>
      <c r="BI45" s="154"/>
      <c r="BJ45" s="154"/>
      <c r="BK45" s="161"/>
      <c r="BL45" s="161"/>
      <c r="BM45" s="161"/>
      <c r="BN45" s="161"/>
      <c r="BO45" s="161"/>
      <c r="BP45" s="161"/>
      <c r="BQ45" s="161"/>
      <c r="BR45" s="161"/>
      <c r="BS45" s="162"/>
      <c r="BT45" s="152"/>
      <c r="BU45" s="152"/>
      <c r="BV45" s="162"/>
      <c r="BW45" s="171"/>
      <c r="BX45" s="151"/>
      <c r="BY45" s="797"/>
      <c r="BZ45" s="797"/>
      <c r="CA45" s="797"/>
      <c r="CB45" s="797"/>
      <c r="CC45" s="797"/>
      <c r="CD45" s="797"/>
      <c r="CE45" s="797"/>
      <c r="CF45" s="797"/>
      <c r="CG45" s="797"/>
      <c r="CH45" s="797"/>
      <c r="CI45" s="797"/>
      <c r="CJ45" s="797"/>
      <c r="CK45" s="797"/>
      <c r="CL45" s="797"/>
      <c r="CM45" s="797"/>
      <c r="CN45" s="797"/>
      <c r="CO45" s="797"/>
      <c r="CP45" s="797"/>
      <c r="CQ45" s="797"/>
      <c r="CR45" s="797"/>
      <c r="CS45" s="797"/>
      <c r="CT45" s="797"/>
      <c r="CU45" s="797"/>
    </row>
    <row r="46" spans="1:99" ht="15.75" thickBot="1" x14ac:dyDescent="0.3">
      <c r="A46" s="127">
        <f>(((G44+H45)/3)^0.5+D45*B46)^2</f>
        <v>1.3369821454220758</v>
      </c>
      <c r="B46" s="119">
        <v>1</v>
      </c>
      <c r="C46" s="181">
        <f>ABS(A46+H45)/2</f>
        <v>1.3362453151643132</v>
      </c>
      <c r="D46" s="181">
        <f>ABS(G45+H45)/2</f>
        <v>1.3311462333036765</v>
      </c>
      <c r="E46" s="181">
        <f>ABS(D46+C46)/2</f>
        <v>1.3336957742339948</v>
      </c>
      <c r="F46" s="129">
        <f>(H45+I46)/2</f>
        <v>1.1677542424532754</v>
      </c>
      <c r="G46" s="130" t="str">
        <f>IF(H46&gt;0.005,"1","0")</f>
        <v>1</v>
      </c>
      <c r="H46" s="131">
        <f>(C46-D46)</f>
        <v>5.0990818606366783E-3</v>
      </c>
      <c r="I46" s="132">
        <f>(INT((G45/M46)^0.5)+M45*N46)^2</f>
        <v>1</v>
      </c>
      <c r="J46" s="133"/>
      <c r="K46" s="134">
        <f>(R56+S58)/2</f>
        <v>0</v>
      </c>
      <c r="L46" s="135">
        <f>((I46+H45)/2+I46)/2</f>
        <v>1.0838771212266378</v>
      </c>
      <c r="M46" s="182">
        <v>10000</v>
      </c>
      <c r="N46" s="137">
        <v>1</v>
      </c>
      <c r="O46" s="119"/>
      <c r="P46" s="119"/>
      <c r="Q46" s="119"/>
      <c r="R46" s="119"/>
      <c r="S46" s="119"/>
      <c r="T46" s="119"/>
      <c r="U46" s="154"/>
      <c r="V46" s="154"/>
      <c r="W46" s="154"/>
      <c r="X46" s="154"/>
      <c r="Y46" s="161"/>
      <c r="Z46" s="161"/>
      <c r="AA46" s="161"/>
      <c r="AB46" s="161"/>
      <c r="AC46" s="161"/>
      <c r="AD46" s="161"/>
      <c r="AE46" s="161"/>
      <c r="AF46" s="161"/>
      <c r="AG46" s="161"/>
      <c r="AH46" s="152"/>
      <c r="AI46" s="152"/>
      <c r="AJ46" s="183"/>
      <c r="AK46" s="184"/>
      <c r="AL46" s="151"/>
      <c r="AM46" s="127">
        <f>(((AS44+AT45)/3)^0.5+AP45*AN46)^2</f>
        <v>1.656511030429054</v>
      </c>
      <c r="AN46" s="119">
        <v>1</v>
      </c>
      <c r="AO46" s="181">
        <f>ABS(AM46+AT45)/2</f>
        <v>1.6547644679271882</v>
      </c>
      <c r="AP46" s="181">
        <f>ABS(AS45+AT45)/2</f>
        <v>1.6475312725130911</v>
      </c>
      <c r="AQ46" s="181">
        <f>ABS(AP46+AO46)/2</f>
        <v>1.6511478702201396</v>
      </c>
      <c r="AR46" s="129">
        <f>(AT45+AU46)/2</f>
        <v>1.3265089527126612</v>
      </c>
      <c r="AS46" s="130" t="str">
        <f>IF(AT46&gt;0.005,"1","0")</f>
        <v>1</v>
      </c>
      <c r="AT46" s="131">
        <f>(AO46-AP46)</f>
        <v>7.233195414097171E-3</v>
      </c>
      <c r="AU46" s="132">
        <f>(INT((AS45/AY46)^0.5)+AY45*AZ46)^2</f>
        <v>1</v>
      </c>
      <c r="AV46" s="133"/>
      <c r="AW46" s="134">
        <f>(BD56+BE58)/2</f>
        <v>0</v>
      </c>
      <c r="AX46" s="135">
        <f>((AU46+AT45)/2+AU46)/2</f>
        <v>1.1632544763563306</v>
      </c>
      <c r="AY46" s="182">
        <v>10000</v>
      </c>
      <c r="AZ46" s="137">
        <v>1</v>
      </c>
      <c r="BA46" s="119"/>
      <c r="BB46" s="119"/>
      <c r="BC46" s="119"/>
      <c r="BD46" s="119"/>
      <c r="BE46" s="119"/>
      <c r="BF46" s="119"/>
      <c r="BG46" s="154"/>
      <c r="BH46" s="154"/>
      <c r="BI46" s="154"/>
      <c r="BJ46" s="154"/>
      <c r="BK46" s="161"/>
      <c r="BL46" s="161"/>
      <c r="BM46" s="161"/>
      <c r="BN46" s="161"/>
      <c r="BO46" s="161"/>
      <c r="BP46" s="161"/>
      <c r="BQ46" s="161"/>
      <c r="BR46" s="161"/>
      <c r="BS46" s="161"/>
      <c r="BT46" s="152"/>
      <c r="BU46" s="152"/>
      <c r="BV46" s="183"/>
      <c r="BW46" s="184"/>
      <c r="BX46" s="151"/>
      <c r="BY46" s="797"/>
      <c r="BZ46" s="797"/>
      <c r="CA46" s="797"/>
      <c r="CB46" s="797"/>
      <c r="CC46" s="797"/>
      <c r="CD46" s="797"/>
      <c r="CE46" s="797"/>
      <c r="CF46" s="797"/>
      <c r="CG46" s="797"/>
      <c r="CH46" s="797"/>
      <c r="CI46" s="797"/>
      <c r="CJ46" s="797"/>
      <c r="CK46" s="797"/>
      <c r="CL46" s="797"/>
      <c r="CM46" s="797"/>
      <c r="CN46" s="797"/>
      <c r="CO46" s="797"/>
      <c r="CP46" s="797"/>
      <c r="CQ46" s="797"/>
      <c r="CR46" s="797"/>
      <c r="CS46" s="797"/>
      <c r="CT46" s="797"/>
      <c r="CU46" s="797"/>
    </row>
    <row r="47" spans="1:99" ht="15.75" thickBot="1" x14ac:dyDescent="0.3">
      <c r="A47" s="185" t="s">
        <v>47</v>
      </c>
      <c r="B47" s="186"/>
      <c r="C47" s="142"/>
      <c r="D47" s="142"/>
      <c r="E47" s="142"/>
      <c r="F47" s="142"/>
      <c r="G47" s="142"/>
      <c r="H47" s="187">
        <f>(G47+F47)/2</f>
        <v>0</v>
      </c>
      <c r="I47" s="187">
        <f>(G47+H47)/2</f>
        <v>0</v>
      </c>
      <c r="J47" s="188">
        <f>C63</f>
        <v>133988</v>
      </c>
      <c r="K47" s="189">
        <f>J75</f>
        <v>133357</v>
      </c>
      <c r="L47" s="190">
        <f>I76</f>
        <v>134323</v>
      </c>
      <c r="M47" s="148"/>
      <c r="N47" s="149"/>
      <c r="O47" s="149"/>
      <c r="P47" s="149"/>
      <c r="Q47" s="149"/>
      <c r="R47" s="150"/>
      <c r="S47" s="151"/>
      <c r="T47" s="152"/>
      <c r="U47" s="163"/>
      <c r="V47" s="163"/>
      <c r="W47" s="163"/>
      <c r="X47" s="163"/>
      <c r="Y47" s="152"/>
      <c r="Z47" s="152"/>
      <c r="AA47" s="161"/>
      <c r="AB47" s="161"/>
      <c r="AC47" s="161"/>
      <c r="AD47" s="161"/>
      <c r="AE47" s="161"/>
      <c r="AF47" s="161"/>
      <c r="AG47" s="161"/>
      <c r="AH47" s="161"/>
      <c r="AI47" s="152"/>
      <c r="AJ47" s="191"/>
      <c r="AK47" s="192"/>
      <c r="AL47" s="151"/>
      <c r="AM47" s="185" t="s">
        <v>47</v>
      </c>
      <c r="AN47" s="186"/>
      <c r="AO47" s="142"/>
      <c r="AP47" s="142"/>
      <c r="AQ47" s="142"/>
      <c r="AR47" s="142"/>
      <c r="AS47" s="142"/>
      <c r="AT47" s="187">
        <f>(AS47+AR47)/2</f>
        <v>0</v>
      </c>
      <c r="AU47" s="187">
        <f>(AS47+AT47)/2</f>
        <v>0</v>
      </c>
      <c r="AV47" s="188">
        <f>AO63</f>
        <v>165973</v>
      </c>
      <c r="AW47" s="189">
        <f>AV75</f>
        <v>165605</v>
      </c>
      <c r="AX47" s="190">
        <f>AU76</f>
        <v>166027</v>
      </c>
      <c r="AY47" s="148"/>
      <c r="AZ47" s="149"/>
      <c r="BA47" s="149"/>
      <c r="BB47" s="149"/>
      <c r="BC47" s="149"/>
      <c r="BD47" s="150"/>
      <c r="BE47" s="151"/>
      <c r="BF47" s="152"/>
      <c r="BG47" s="163"/>
      <c r="BH47" s="163"/>
      <c r="BI47" s="163"/>
      <c r="BJ47" s="163"/>
      <c r="BK47" s="152"/>
      <c r="BL47" s="152"/>
      <c r="BM47" s="161"/>
      <c r="BN47" s="161"/>
      <c r="BO47" s="161"/>
      <c r="BP47" s="161"/>
      <c r="BQ47" s="161"/>
      <c r="BR47" s="161"/>
      <c r="BS47" s="161"/>
      <c r="BT47" s="161"/>
      <c r="BU47" s="152"/>
      <c r="BV47" s="191"/>
      <c r="BW47" s="192"/>
      <c r="BX47" s="151"/>
      <c r="BY47" s="797"/>
      <c r="BZ47" s="797"/>
      <c r="CA47" s="797"/>
      <c r="CB47" s="797"/>
      <c r="CC47" s="797"/>
      <c r="CD47" s="797"/>
      <c r="CE47" s="797"/>
      <c r="CF47" s="797"/>
      <c r="CG47" s="797"/>
      <c r="CH47" s="797"/>
      <c r="CI47" s="797"/>
      <c r="CJ47" s="797"/>
      <c r="CK47" s="797"/>
      <c r="CL47" s="797"/>
      <c r="CM47" s="797"/>
      <c r="CN47" s="797"/>
      <c r="CO47" s="797"/>
      <c r="CP47" s="797"/>
      <c r="CQ47" s="797"/>
      <c r="CR47" s="797"/>
      <c r="CS47" s="797"/>
      <c r="CT47" s="797"/>
      <c r="CU47" s="797"/>
    </row>
    <row r="48" spans="1:99" x14ac:dyDescent="0.25">
      <c r="A48" s="193"/>
      <c r="B48" s="194"/>
      <c r="C48" s="157"/>
      <c r="D48" s="138"/>
      <c r="E48" s="138"/>
      <c r="F48" s="138"/>
      <c r="G48" s="158" t="str">
        <f>IF(H46&gt;0,"LONG","SHORT")</f>
        <v>LONG</v>
      </c>
      <c r="H48" s="138">
        <f>ABS(H46*1000)</f>
        <v>5.0990818606366783</v>
      </c>
      <c r="I48" s="142"/>
      <c r="J48" s="160"/>
      <c r="K48" s="160"/>
      <c r="L48" s="160"/>
      <c r="M48" s="160"/>
      <c r="N48" s="161"/>
      <c r="O48" s="161"/>
      <c r="P48" s="161"/>
      <c r="Q48" s="162"/>
      <c r="R48" s="150"/>
      <c r="S48" s="151"/>
      <c r="T48" s="163"/>
      <c r="U48" s="163"/>
      <c r="V48" s="154"/>
      <c r="W48" s="154"/>
      <c r="X48" s="154"/>
      <c r="Y48" s="161"/>
      <c r="Z48" s="161"/>
      <c r="AA48" s="161"/>
      <c r="AB48" s="161"/>
      <c r="AC48" s="161"/>
      <c r="AD48" s="161"/>
      <c r="AE48" s="161"/>
      <c r="AF48" s="161"/>
      <c r="AG48" s="161"/>
      <c r="AH48" s="161"/>
      <c r="AI48" s="152"/>
      <c r="AJ48" s="195"/>
      <c r="AK48" s="192"/>
      <c r="AL48" s="151"/>
      <c r="AM48" s="193"/>
      <c r="AN48" s="194"/>
      <c r="AO48" s="157"/>
      <c r="AP48" s="138"/>
      <c r="AQ48" s="138"/>
      <c r="AR48" s="138"/>
      <c r="AS48" s="158" t="str">
        <f>IF(AT46&gt;0,"LONG","SHORT")</f>
        <v>LONG</v>
      </c>
      <c r="AT48" s="138">
        <f>ABS(AT46*1000)</f>
        <v>7.233195414097171</v>
      </c>
      <c r="AU48" s="142"/>
      <c r="AV48" s="160"/>
      <c r="AW48" s="160"/>
      <c r="AX48" s="160"/>
      <c r="AY48" s="160"/>
      <c r="AZ48" s="161"/>
      <c r="BA48" s="161"/>
      <c r="BB48" s="161"/>
      <c r="BC48" s="162"/>
      <c r="BD48" s="150"/>
      <c r="BE48" s="151"/>
      <c r="BF48" s="163"/>
      <c r="BG48" s="163"/>
      <c r="BH48" s="154"/>
      <c r="BI48" s="154"/>
      <c r="BJ48" s="154"/>
      <c r="BK48" s="161"/>
      <c r="BL48" s="161"/>
      <c r="BM48" s="161"/>
      <c r="BN48" s="161"/>
      <c r="BO48" s="161"/>
      <c r="BP48" s="161"/>
      <c r="BQ48" s="161"/>
      <c r="BR48" s="161"/>
      <c r="BS48" s="161"/>
      <c r="BT48" s="161"/>
      <c r="BU48" s="152"/>
      <c r="BV48" s="195"/>
      <c r="BW48" s="192"/>
      <c r="BX48" s="151"/>
      <c r="BY48" s="797"/>
      <c r="BZ48" s="797"/>
      <c r="CA48" s="797"/>
      <c r="CB48" s="797"/>
      <c r="CC48" s="797"/>
      <c r="CD48" s="797"/>
      <c r="CE48" s="797"/>
      <c r="CF48" s="797"/>
      <c r="CG48" s="797"/>
      <c r="CH48" s="797"/>
      <c r="CI48" s="797"/>
      <c r="CJ48" s="797"/>
      <c r="CK48" s="797"/>
      <c r="CL48" s="797"/>
      <c r="CM48" s="797"/>
      <c r="CN48" s="797"/>
      <c r="CO48" s="797"/>
      <c r="CP48" s="797"/>
      <c r="CQ48" s="797"/>
      <c r="CR48" s="797"/>
      <c r="CS48" s="797"/>
      <c r="CT48" s="797"/>
      <c r="CU48" s="797"/>
    </row>
    <row r="49" spans="1:99" x14ac:dyDescent="0.25">
      <c r="A49" s="196">
        <v>1.0000000000000001E-5</v>
      </c>
      <c r="B49" s="197"/>
      <c r="C49" s="154"/>
      <c r="D49" s="154"/>
      <c r="E49" s="154"/>
      <c r="F49" s="161"/>
      <c r="G49" s="161"/>
      <c r="H49" s="191"/>
      <c r="I49" s="161"/>
      <c r="J49" s="161"/>
      <c r="K49" s="161"/>
      <c r="L49" s="161"/>
      <c r="M49" s="161"/>
      <c r="N49" s="161"/>
      <c r="O49" s="191"/>
      <c r="P49" s="149"/>
      <c r="Q49" s="149"/>
      <c r="R49" s="198"/>
      <c r="S49" s="199"/>
      <c r="T49" s="163"/>
      <c r="U49" s="154"/>
      <c r="V49" s="154"/>
      <c r="W49" s="154"/>
      <c r="X49" s="154"/>
      <c r="Y49" s="161"/>
      <c r="Z49" s="161"/>
      <c r="AA49" s="191"/>
      <c r="AB49" s="161"/>
      <c r="AC49" s="161"/>
      <c r="AD49" s="161"/>
      <c r="AE49" s="161"/>
      <c r="AF49" s="161"/>
      <c r="AG49" s="161"/>
      <c r="AH49" s="152"/>
      <c r="AI49" s="161"/>
      <c r="AJ49" s="162"/>
      <c r="AK49" s="200"/>
      <c r="AL49" s="151"/>
      <c r="AM49" s="196">
        <v>1.0000000000000001E-5</v>
      </c>
      <c r="AN49" s="197"/>
      <c r="AO49" s="154"/>
      <c r="AP49" s="154"/>
      <c r="AQ49" s="154"/>
      <c r="AR49" s="161"/>
      <c r="AS49" s="161"/>
      <c r="AT49" s="191"/>
      <c r="AU49" s="161"/>
      <c r="AV49" s="161"/>
      <c r="AW49" s="161"/>
      <c r="AX49" s="161"/>
      <c r="AY49" s="161"/>
      <c r="AZ49" s="161"/>
      <c r="BA49" s="191"/>
      <c r="BB49" s="149"/>
      <c r="BC49" s="149"/>
      <c r="BD49" s="198"/>
      <c r="BE49" s="199"/>
      <c r="BF49" s="163"/>
      <c r="BG49" s="154"/>
      <c r="BH49" s="154"/>
      <c r="BI49" s="154"/>
      <c r="BJ49" s="154"/>
      <c r="BK49" s="161"/>
      <c r="BL49" s="161"/>
      <c r="BM49" s="191"/>
      <c r="BN49" s="161"/>
      <c r="BO49" s="161"/>
      <c r="BP49" s="161"/>
      <c r="BQ49" s="161"/>
      <c r="BR49" s="161"/>
      <c r="BS49" s="161"/>
      <c r="BT49" s="152"/>
      <c r="BU49" s="161"/>
      <c r="BV49" s="162"/>
      <c r="BW49" s="200"/>
      <c r="BX49" s="151"/>
      <c r="BY49" s="797"/>
      <c r="BZ49" s="797"/>
      <c r="CA49" s="797"/>
      <c r="CB49" s="797"/>
      <c r="CC49" s="797"/>
      <c r="CD49" s="797"/>
      <c r="CE49" s="797"/>
      <c r="CF49" s="797"/>
      <c r="CG49" s="797"/>
      <c r="CH49" s="797"/>
      <c r="CI49" s="797"/>
      <c r="CJ49" s="797"/>
      <c r="CK49" s="797"/>
      <c r="CL49" s="797"/>
      <c r="CM49" s="797"/>
      <c r="CN49" s="797"/>
      <c r="CO49" s="797"/>
      <c r="CP49" s="797"/>
      <c r="CQ49" s="797"/>
      <c r="CR49" s="797"/>
      <c r="CS49" s="797"/>
      <c r="CT49" s="797"/>
      <c r="CU49" s="797"/>
    </row>
    <row r="50" spans="1:99" x14ac:dyDescent="0.25">
      <c r="A50" s="163">
        <v>0.01</v>
      </c>
      <c r="B50" s="154"/>
      <c r="C50" s="154"/>
      <c r="D50" s="163"/>
      <c r="E50" s="163"/>
      <c r="F50" s="191"/>
      <c r="G50" s="191"/>
      <c r="H50" s="191"/>
      <c r="I50" s="191"/>
      <c r="J50" s="191"/>
      <c r="K50" s="191"/>
      <c r="L50" s="191"/>
      <c r="M50" s="191"/>
      <c r="N50" s="201"/>
      <c r="O50" s="202"/>
      <c r="P50" s="203"/>
      <c r="Q50" s="154"/>
      <c r="R50" s="163"/>
      <c r="S50" s="204"/>
      <c r="T50" s="163"/>
      <c r="U50" s="154"/>
      <c r="V50" s="154"/>
      <c r="W50" s="163"/>
      <c r="X50" s="163"/>
      <c r="Y50" s="191"/>
      <c r="Z50" s="191"/>
      <c r="AA50" s="191"/>
      <c r="AB50" s="191"/>
      <c r="AC50" s="191"/>
      <c r="AD50" s="191"/>
      <c r="AE50" s="191"/>
      <c r="AF50" s="191"/>
      <c r="AG50" s="201"/>
      <c r="AH50" s="205"/>
      <c r="AI50" s="206"/>
      <c r="AJ50" s="149"/>
      <c r="AK50" s="152"/>
      <c r="AL50" s="151"/>
      <c r="AM50" s="163">
        <v>0.01</v>
      </c>
      <c r="AN50" s="154"/>
      <c r="AO50" s="154"/>
      <c r="AP50" s="163"/>
      <c r="AQ50" s="163"/>
      <c r="AR50" s="191"/>
      <c r="AS50" s="191"/>
      <c r="AT50" s="191"/>
      <c r="AU50" s="191"/>
      <c r="AV50" s="191"/>
      <c r="AW50" s="191"/>
      <c r="AX50" s="191"/>
      <c r="AY50" s="191"/>
      <c r="AZ50" s="201"/>
      <c r="BA50" s="202"/>
      <c r="BB50" s="203"/>
      <c r="BC50" s="154"/>
      <c r="BD50" s="163"/>
      <c r="BE50" s="204"/>
      <c r="BF50" s="163"/>
      <c r="BG50" s="154"/>
      <c r="BH50" s="154"/>
      <c r="BI50" s="163"/>
      <c r="BJ50" s="163"/>
      <c r="BK50" s="191"/>
      <c r="BL50" s="191"/>
      <c r="BM50" s="191"/>
      <c r="BN50" s="191"/>
      <c r="BO50" s="191"/>
      <c r="BP50" s="191"/>
      <c r="BQ50" s="191"/>
      <c r="BR50" s="191"/>
      <c r="BS50" s="201"/>
      <c r="BT50" s="205"/>
      <c r="BU50" s="206"/>
      <c r="BV50" s="149"/>
      <c r="BW50" s="152"/>
      <c r="BX50" s="151"/>
      <c r="BY50" s="797"/>
      <c r="BZ50" s="797"/>
      <c r="CA50" s="797"/>
      <c r="CB50" s="797"/>
      <c r="CC50" s="797"/>
      <c r="CD50" s="797"/>
      <c r="CE50" s="797"/>
      <c r="CF50" s="797"/>
      <c r="CG50" s="797"/>
      <c r="CH50" s="797"/>
      <c r="CI50" s="797"/>
      <c r="CJ50" s="797"/>
      <c r="CK50" s="797"/>
      <c r="CL50" s="797"/>
      <c r="CM50" s="797"/>
      <c r="CN50" s="797"/>
      <c r="CO50" s="797"/>
      <c r="CP50" s="797"/>
      <c r="CQ50" s="797"/>
      <c r="CR50" s="797"/>
      <c r="CS50" s="797"/>
      <c r="CT50" s="797"/>
      <c r="CU50" s="797"/>
    </row>
    <row r="51" spans="1:99" x14ac:dyDescent="0.25">
      <c r="A51" s="163"/>
      <c r="B51" s="154"/>
      <c r="C51" s="154"/>
      <c r="D51" s="163"/>
      <c r="E51" s="163"/>
      <c r="F51" s="191"/>
      <c r="G51" s="149"/>
      <c r="H51" s="191"/>
      <c r="I51" s="191"/>
      <c r="J51" s="191"/>
      <c r="K51" s="191"/>
      <c r="L51" s="191"/>
      <c r="M51" s="191"/>
      <c r="N51" s="207"/>
      <c r="O51" s="208"/>
      <c r="P51" s="209"/>
      <c r="Q51" s="154"/>
      <c r="R51" s="210"/>
      <c r="S51" s="211"/>
      <c r="T51" s="163"/>
      <c r="U51" s="154"/>
      <c r="V51" s="154"/>
      <c r="W51" s="163"/>
      <c r="X51" s="163"/>
      <c r="Y51" s="191"/>
      <c r="Z51" s="149"/>
      <c r="AA51" s="191"/>
      <c r="AB51" s="191"/>
      <c r="AC51" s="191"/>
      <c r="AD51" s="191"/>
      <c r="AE51" s="191"/>
      <c r="AF51" s="191"/>
      <c r="AG51" s="207"/>
      <c r="AH51" s="212"/>
      <c r="AI51" s="213"/>
      <c r="AJ51" s="162"/>
      <c r="AK51" s="152"/>
      <c r="AL51" s="151"/>
      <c r="AM51" s="163"/>
      <c r="AN51" s="154"/>
      <c r="AO51" s="154"/>
      <c r="AP51" s="163"/>
      <c r="AQ51" s="163"/>
      <c r="AR51" s="191"/>
      <c r="AS51" s="149"/>
      <c r="AT51" s="191"/>
      <c r="AU51" s="191"/>
      <c r="AV51" s="191"/>
      <c r="AW51" s="191"/>
      <c r="AX51" s="191"/>
      <c r="AY51" s="191"/>
      <c r="AZ51" s="207"/>
      <c r="BA51" s="208"/>
      <c r="BB51" s="209"/>
      <c r="BC51" s="154"/>
      <c r="BD51" s="210"/>
      <c r="BE51" s="211"/>
      <c r="BF51" s="163"/>
      <c r="BG51" s="154"/>
      <c r="BH51" s="154"/>
      <c r="BI51" s="163"/>
      <c r="BJ51" s="163"/>
      <c r="BK51" s="191"/>
      <c r="BL51" s="149"/>
      <c r="BM51" s="191"/>
      <c r="BN51" s="191"/>
      <c r="BO51" s="191"/>
      <c r="BP51" s="191"/>
      <c r="BQ51" s="191"/>
      <c r="BR51" s="191"/>
      <c r="BS51" s="207"/>
      <c r="BT51" s="212"/>
      <c r="BU51" s="213"/>
      <c r="BV51" s="162"/>
      <c r="BW51" s="152"/>
      <c r="BX51" s="151"/>
      <c r="BY51" s="797"/>
      <c r="BZ51" s="797"/>
      <c r="CA51" s="797"/>
      <c r="CB51" s="797"/>
      <c r="CC51" s="797"/>
      <c r="CD51" s="797"/>
      <c r="CE51" s="797"/>
      <c r="CF51" s="797"/>
      <c r="CG51" s="797"/>
      <c r="CH51" s="797"/>
      <c r="CI51" s="797"/>
      <c r="CJ51" s="797"/>
      <c r="CK51" s="797"/>
      <c r="CL51" s="797"/>
      <c r="CM51" s="797"/>
      <c r="CN51" s="797"/>
      <c r="CO51" s="797"/>
      <c r="CP51" s="797"/>
      <c r="CQ51" s="797"/>
      <c r="CR51" s="797"/>
      <c r="CS51" s="797"/>
      <c r="CT51" s="797"/>
      <c r="CU51" s="797"/>
    </row>
    <row r="52" spans="1:99" ht="15.75" thickBot="1" x14ac:dyDescent="0.3">
      <c r="A52" s="166"/>
      <c r="B52" s="214" t="s">
        <v>0</v>
      </c>
      <c r="C52" s="215">
        <f>[1]!EURUSD</f>
        <v>1.3204499999999999</v>
      </c>
      <c r="D52" s="216">
        <f>[2]!EURUSD</f>
        <v>1.3205</v>
      </c>
      <c r="E52" s="215">
        <f>[3]!EURUSD</f>
        <v>1.32067</v>
      </c>
      <c r="F52" s="215">
        <f>[4]!EURUSD</f>
        <v>1.31782</v>
      </c>
      <c r="G52" s="217">
        <f>[5]!EURUSD</f>
        <v>41877.284722222219</v>
      </c>
      <c r="H52" s="218" t="str">
        <f>[6]!EURUSD</f>
        <v>2014/08/26 06:50 1.32045 1.32050</v>
      </c>
      <c r="I52" s="160"/>
      <c r="J52" s="160"/>
      <c r="K52" s="160"/>
      <c r="L52" s="160"/>
      <c r="M52" s="160"/>
      <c r="N52" s="161"/>
      <c r="O52" s="161"/>
      <c r="P52" s="161"/>
      <c r="Q52" s="149"/>
      <c r="R52" s="171"/>
      <c r="S52" s="151"/>
      <c r="T52" s="163"/>
      <c r="U52" s="172"/>
      <c r="V52" s="154"/>
      <c r="W52" s="154"/>
      <c r="X52" s="173"/>
      <c r="Y52" s="174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49"/>
      <c r="AK52" s="171"/>
      <c r="AL52" s="151"/>
      <c r="AM52" s="166"/>
      <c r="AN52" s="214" t="s">
        <v>4</v>
      </c>
      <c r="AO52" s="215">
        <f>[1]!GBPUSD</f>
        <v>1.6593199999999999</v>
      </c>
      <c r="AP52" s="216">
        <f>[2]!GBPUSD</f>
        <v>1.65937</v>
      </c>
      <c r="AQ52" s="215">
        <f>[3]!GBPUSD</f>
        <v>1.6594899999999999</v>
      </c>
      <c r="AR52" s="215">
        <f>[4]!GBPUSD</f>
        <v>1.6563300000000001</v>
      </c>
      <c r="AS52" s="217">
        <f>[5]!GBPUSD</f>
        <v>41877.284722222219</v>
      </c>
      <c r="AT52" s="218" t="str">
        <f>[6]!GBPUSD</f>
        <v>2014/08/26 06:50 1.65932 1.65937</v>
      </c>
      <c r="AU52" s="160"/>
      <c r="AV52" s="160"/>
      <c r="AW52" s="160"/>
      <c r="AX52" s="160"/>
      <c r="AY52" s="160"/>
      <c r="AZ52" s="161"/>
      <c r="BA52" s="161"/>
      <c r="BB52" s="161"/>
      <c r="BC52" s="149"/>
      <c r="BD52" s="171"/>
      <c r="BE52" s="151"/>
      <c r="BF52" s="163"/>
      <c r="BG52" s="172"/>
      <c r="BH52" s="154"/>
      <c r="BI52" s="154"/>
      <c r="BJ52" s="173"/>
      <c r="BK52" s="174"/>
      <c r="BL52" s="161"/>
      <c r="BM52" s="161"/>
      <c r="BN52" s="161"/>
      <c r="BO52" s="161"/>
      <c r="BP52" s="161"/>
      <c r="BQ52" s="161"/>
      <c r="BR52" s="161"/>
      <c r="BS52" s="161"/>
      <c r="BT52" s="161"/>
      <c r="BU52" s="161"/>
      <c r="BV52" s="149"/>
      <c r="BW52" s="171"/>
      <c r="BX52" s="151"/>
      <c r="BY52" s="797"/>
      <c r="BZ52" s="797"/>
      <c r="CA52" s="797"/>
      <c r="CB52" s="797"/>
      <c r="CC52" s="797"/>
      <c r="CD52" s="797"/>
      <c r="CE52" s="797"/>
      <c r="CF52" s="797"/>
      <c r="CG52" s="797"/>
      <c r="CH52" s="797"/>
      <c r="CI52" s="797"/>
      <c r="CJ52" s="797"/>
      <c r="CK52" s="797"/>
      <c r="CL52" s="797"/>
      <c r="CM52" s="797"/>
      <c r="CN52" s="797"/>
      <c r="CO52" s="797"/>
      <c r="CP52" s="797"/>
      <c r="CQ52" s="797"/>
      <c r="CR52" s="797"/>
      <c r="CS52" s="797"/>
      <c r="CT52" s="797"/>
      <c r="CU52" s="797"/>
    </row>
    <row r="53" spans="1:99" ht="15.75" thickBot="1" x14ac:dyDescent="0.3">
      <c r="A53" s="114">
        <f>(E52*A58)</f>
        <v>1.32067</v>
      </c>
      <c r="B53" s="175">
        <f>(K56*A58)</f>
        <v>1.31782</v>
      </c>
      <c r="C53" s="175">
        <f>(L56*A58)</f>
        <v>1.3205</v>
      </c>
      <c r="D53" s="116">
        <f>((A53+B53)/2)+((B53+C53)/2)</f>
        <v>2.6384050000000001</v>
      </c>
      <c r="E53" s="116">
        <f>(A53-B53)^2</f>
        <v>8.122500000000109E-6</v>
      </c>
      <c r="F53" s="116">
        <f>(C53-B53)^2*N55</f>
        <v>7.1824000000000839E-6</v>
      </c>
      <c r="G53" s="219">
        <f>J54</f>
        <v>2.6383896950999999</v>
      </c>
      <c r="H53" s="220">
        <f>(G53/2)</f>
        <v>1.3191948475499999</v>
      </c>
      <c r="I53" s="116">
        <f>(A53/B53)</f>
        <v>1.002162662579108</v>
      </c>
      <c r="J53" s="116">
        <f>(C53/B53)</f>
        <v>1.0020336616533365</v>
      </c>
      <c r="K53" s="116">
        <f>I53^0.5</f>
        <v>1.0010807472822101</v>
      </c>
      <c r="L53" s="116">
        <f>J53^0.5</f>
        <v>1.0010163143792095</v>
      </c>
      <c r="M53" s="119">
        <f>INT(K53)-E54</f>
        <v>0</v>
      </c>
      <c r="N53" s="119">
        <f>INT(L53)-E54</f>
        <v>0</v>
      </c>
      <c r="O53" s="119">
        <f>(M53+45/360)^2</f>
        <v>1.5625E-2</v>
      </c>
      <c r="P53" s="119">
        <f>(N53+45/360)^2</f>
        <v>1.5625E-2</v>
      </c>
      <c r="Q53" s="119">
        <f>(O53+P53)/3</f>
        <v>1.0416666666666666E-2</v>
      </c>
      <c r="R53" s="119">
        <f>(Q53*4)</f>
        <v>4.1666666666666664E-2</v>
      </c>
      <c r="S53" s="119">
        <f>R53/3</f>
        <v>1.3888888888888888E-2</v>
      </c>
      <c r="T53" s="120">
        <f>(G54+H53)/2</f>
        <v>1.3121781275337709</v>
      </c>
      <c r="U53" s="153"/>
      <c r="V53" s="154"/>
      <c r="W53" s="154"/>
      <c r="X53" s="163"/>
      <c r="Y53" s="174"/>
      <c r="Z53" s="161"/>
      <c r="AA53" s="152"/>
      <c r="AB53" s="161"/>
      <c r="AC53" s="161"/>
      <c r="AD53" s="161"/>
      <c r="AE53" s="161"/>
      <c r="AF53" s="161"/>
      <c r="AG53" s="161"/>
      <c r="AH53" s="161"/>
      <c r="AI53" s="152"/>
      <c r="AJ53" s="162"/>
      <c r="AK53" s="150"/>
      <c r="AL53" s="151"/>
      <c r="AM53" s="114">
        <f>(AQ52*AM58)</f>
        <v>1.6594899999999999</v>
      </c>
      <c r="AN53" s="175">
        <f>(AW56*AM58)</f>
        <v>1.6563300000000001</v>
      </c>
      <c r="AO53" s="175">
        <f>(AX56*AM58)</f>
        <v>1.65937</v>
      </c>
      <c r="AP53" s="116">
        <f>((AM53+AN53)/2)+((AN53+AO53)/2)</f>
        <v>3.31576</v>
      </c>
      <c r="AQ53" s="116">
        <f>(AM53-AN53)^2</f>
        <v>9.9855999999989223E-6</v>
      </c>
      <c r="AR53" s="116">
        <f>(AO53-AN53)^2*AZ55</f>
        <v>9.2415999999995847E-6</v>
      </c>
      <c r="AS53" s="219">
        <f>AV54</f>
        <v>3.3157407727999999</v>
      </c>
      <c r="AT53" s="220">
        <f>(AS53/2)</f>
        <v>1.6578703864</v>
      </c>
      <c r="AU53" s="116">
        <f>(AM53/AN53)</f>
        <v>1.0019078323763984</v>
      </c>
      <c r="AV53" s="116">
        <f>(AO53/AN53)</f>
        <v>1.001835383045649</v>
      </c>
      <c r="AW53" s="116">
        <f>AU53^0.5</f>
        <v>1.0009534616436462</v>
      </c>
      <c r="AX53" s="116">
        <f>AV53^0.5</f>
        <v>1.0009172708299368</v>
      </c>
      <c r="AY53" s="119">
        <f>INT(AW53)-AQ54</f>
        <v>0</v>
      </c>
      <c r="AZ53" s="119">
        <f>INT(AX53)-AQ54</f>
        <v>0</v>
      </c>
      <c r="BA53" s="119">
        <f>(AY53+45/360)^2</f>
        <v>1.5625E-2</v>
      </c>
      <c r="BB53" s="119">
        <f>(AZ53+45/360)^2</f>
        <v>1.5625E-2</v>
      </c>
      <c r="BC53" s="119">
        <f>(BA53+BB53)/3</f>
        <v>1.0416666666666666E-2</v>
      </c>
      <c r="BD53" s="119">
        <f>(BC53*4)</f>
        <v>4.1666666666666664E-2</v>
      </c>
      <c r="BE53" s="119">
        <f>BD53/3</f>
        <v>1.3888888888888888E-2</v>
      </c>
      <c r="BF53" s="120">
        <f>(AS54+AT53)/2</f>
        <v>1.6493399471137948</v>
      </c>
      <c r="BG53" s="153"/>
      <c r="BH53" s="154"/>
      <c r="BI53" s="154"/>
      <c r="BJ53" s="163"/>
      <c r="BK53" s="174"/>
      <c r="BL53" s="161"/>
      <c r="BM53" s="152"/>
      <c r="BN53" s="161"/>
      <c r="BO53" s="161"/>
      <c r="BP53" s="161"/>
      <c r="BQ53" s="161"/>
      <c r="BR53" s="161"/>
      <c r="BS53" s="161"/>
      <c r="BT53" s="161"/>
      <c r="BU53" s="152"/>
      <c r="BV53" s="162"/>
      <c r="BW53" s="150"/>
      <c r="BX53" s="151"/>
      <c r="BY53" s="797"/>
      <c r="BZ53" s="797"/>
      <c r="CA53" s="797"/>
      <c r="CB53" s="797"/>
      <c r="CC53" s="797"/>
      <c r="CD53" s="797"/>
      <c r="CE53" s="797"/>
      <c r="CF53" s="797"/>
      <c r="CG53" s="797"/>
      <c r="CH53" s="797"/>
      <c r="CI53" s="797"/>
      <c r="CJ53" s="797"/>
      <c r="CK53" s="797"/>
      <c r="CL53" s="797"/>
      <c r="CM53" s="797"/>
      <c r="CN53" s="797"/>
      <c r="CO53" s="797"/>
      <c r="CP53" s="797"/>
      <c r="CQ53" s="797"/>
      <c r="CR53" s="797"/>
      <c r="CS53" s="797"/>
      <c r="CT53" s="797"/>
      <c r="CU53" s="797"/>
    </row>
    <row r="54" spans="1:99" ht="15.75" thickBot="1" x14ac:dyDescent="0.3">
      <c r="A54" s="11" t="s">
        <v>46</v>
      </c>
      <c r="B54" s="119">
        <f>Q53/3</f>
        <v>3.472222222222222E-3</v>
      </c>
      <c r="C54" s="119">
        <f>B54/2</f>
        <v>1.736111111111111E-3</v>
      </c>
      <c r="D54" s="122">
        <f>C54/27</f>
        <v>6.4300411522633737E-5</v>
      </c>
      <c r="E54" s="123">
        <v>1</v>
      </c>
      <c r="F54" s="116">
        <f>(F53+E53)^0.5</f>
        <v>3.9121477477212169E-3</v>
      </c>
      <c r="G54" s="221">
        <f>(H53)*((F54-C54-D54)^(B54-C54))</f>
        <v>1.3051614075175419</v>
      </c>
      <c r="H54" s="222">
        <f>(C53+A53+G54+T53)/4</f>
        <v>1.3146273837628282</v>
      </c>
      <c r="I54" s="116">
        <f>E53-F53-D53</f>
        <v>-2.6384040599</v>
      </c>
      <c r="J54" s="116">
        <f>D53-E53-F53</f>
        <v>2.6383896950999999</v>
      </c>
      <c r="K54" s="116">
        <f>F53+E53-D53</f>
        <v>-2.6383896951000003</v>
      </c>
      <c r="L54" s="116">
        <f>F53+D53-E53</f>
        <v>2.6384040599</v>
      </c>
      <c r="M54" s="126">
        <v>1</v>
      </c>
      <c r="N54" s="119"/>
      <c r="O54" s="119"/>
      <c r="P54" s="119"/>
      <c r="Q54" s="119"/>
      <c r="R54" s="119"/>
      <c r="S54" s="119"/>
      <c r="T54" s="119">
        <f>(H53+T53)/2</f>
        <v>1.3156864875418854</v>
      </c>
      <c r="U54" s="180"/>
      <c r="V54" s="163"/>
      <c r="W54" s="154"/>
      <c r="X54" s="154"/>
      <c r="Y54" s="161"/>
      <c r="Z54" s="161"/>
      <c r="AA54" s="161"/>
      <c r="AB54" s="161"/>
      <c r="AC54" s="161"/>
      <c r="AD54" s="161"/>
      <c r="AE54" s="161"/>
      <c r="AF54" s="161"/>
      <c r="AG54" s="162"/>
      <c r="AH54" s="152"/>
      <c r="AI54" s="152"/>
      <c r="AJ54" s="162"/>
      <c r="AK54" s="171"/>
      <c r="AL54" s="151"/>
      <c r="AM54" s="11" t="s">
        <v>46</v>
      </c>
      <c r="AN54" s="119">
        <f>BC53/3</f>
        <v>3.472222222222222E-3</v>
      </c>
      <c r="AO54" s="119">
        <f>AN54/2</f>
        <v>1.736111111111111E-3</v>
      </c>
      <c r="AP54" s="122">
        <f>AO54/27</f>
        <v>6.4300411522633737E-5</v>
      </c>
      <c r="AQ54" s="123">
        <v>1</v>
      </c>
      <c r="AR54" s="116">
        <f>(AR53+AQ53)^0.5</f>
        <v>4.3848831227295566E-3</v>
      </c>
      <c r="AS54" s="221">
        <f>(AT53)*((AR54-AO54-AP54)^(AN54-AO54))</f>
        <v>1.6408095078275897</v>
      </c>
      <c r="AT54" s="222">
        <f>(AO53+AM53+AS54+BF53)/4</f>
        <v>1.6522523637353461</v>
      </c>
      <c r="AU54" s="116">
        <f>AQ53-AR53-AP53</f>
        <v>-3.3157592560000002</v>
      </c>
      <c r="AV54" s="116">
        <f>AP53-AQ53-AR53</f>
        <v>3.3157407727999999</v>
      </c>
      <c r="AW54" s="116">
        <f>AR53+AQ53-AP53</f>
        <v>-3.3157407727999999</v>
      </c>
      <c r="AX54" s="116">
        <f>AR53+AP53-AQ53</f>
        <v>3.3157592559999998</v>
      </c>
      <c r="AY54" s="126">
        <v>1</v>
      </c>
      <c r="AZ54" s="119"/>
      <c r="BA54" s="119"/>
      <c r="BB54" s="119"/>
      <c r="BC54" s="119"/>
      <c r="BD54" s="119"/>
      <c r="BE54" s="119"/>
      <c r="BF54" s="119">
        <f>(AT53+BF53)/2</f>
        <v>1.6536051667568974</v>
      </c>
      <c r="BG54" s="180"/>
      <c r="BH54" s="163"/>
      <c r="BI54" s="154"/>
      <c r="BJ54" s="154"/>
      <c r="BK54" s="161"/>
      <c r="BL54" s="161"/>
      <c r="BM54" s="161"/>
      <c r="BN54" s="161"/>
      <c r="BO54" s="161"/>
      <c r="BP54" s="161"/>
      <c r="BQ54" s="161"/>
      <c r="BR54" s="161"/>
      <c r="BS54" s="162"/>
      <c r="BT54" s="152"/>
      <c r="BU54" s="152"/>
      <c r="BV54" s="162"/>
      <c r="BW54" s="171"/>
      <c r="BX54" s="151"/>
      <c r="BY54" s="797"/>
      <c r="BZ54" s="797"/>
      <c r="CA54" s="797"/>
      <c r="CB54" s="797"/>
      <c r="CC54" s="797"/>
      <c r="CD54" s="797"/>
      <c r="CE54" s="797"/>
      <c r="CF54" s="797"/>
      <c r="CG54" s="797"/>
      <c r="CH54" s="797"/>
      <c r="CI54" s="797"/>
      <c r="CJ54" s="797"/>
      <c r="CK54" s="797"/>
      <c r="CL54" s="797"/>
      <c r="CM54" s="797"/>
      <c r="CN54" s="797"/>
      <c r="CO54" s="797"/>
      <c r="CP54" s="797"/>
      <c r="CQ54" s="797"/>
      <c r="CR54" s="797"/>
      <c r="CS54" s="797"/>
      <c r="CT54" s="797"/>
      <c r="CU54" s="797"/>
    </row>
    <row r="55" spans="1:99" ht="15.75" thickBot="1" x14ac:dyDescent="0.3">
      <c r="A55" s="127">
        <f>(((G53+H54)/3)^0.5+D54*B55)^2</f>
        <v>1.3178199845254059</v>
      </c>
      <c r="B55" s="119">
        <v>1</v>
      </c>
      <c r="C55" s="181">
        <f>ABS(A55+H54)/2</f>
        <v>1.3162236841441171</v>
      </c>
      <c r="D55" s="181">
        <f>ABS(G54+H54)/2</f>
        <v>1.3098943956401849</v>
      </c>
      <c r="E55" s="181">
        <f>ABS(D55+C55)/2</f>
        <v>1.3130590398921509</v>
      </c>
      <c r="F55" s="129">
        <f>(H54+I55)/2</f>
        <v>1.1573136918814142</v>
      </c>
      <c r="G55" s="130" t="str">
        <f>IF(H55&gt;0.005,"1","0")</f>
        <v>1</v>
      </c>
      <c r="H55" s="223">
        <f>(C55-D55)</f>
        <v>6.3292885039321067E-3</v>
      </c>
      <c r="I55" s="132">
        <f>(INT((G54/M55)^0.5)+M54*N55)^2</f>
        <v>1</v>
      </c>
      <c r="J55" s="133"/>
      <c r="K55" s="134">
        <f>(R65+S67)/2</f>
        <v>0</v>
      </c>
      <c r="L55" s="135">
        <f>((I55+H54)/2+I55)/2</f>
        <v>1.0786568459407071</v>
      </c>
      <c r="M55" s="182">
        <v>10000</v>
      </c>
      <c r="N55" s="137">
        <v>1</v>
      </c>
      <c r="O55" s="119"/>
      <c r="P55" s="119"/>
      <c r="Q55" s="119"/>
      <c r="R55" s="119"/>
      <c r="S55" s="119"/>
      <c r="T55" s="119"/>
      <c r="U55" s="154"/>
      <c r="V55" s="154"/>
      <c r="W55" s="154"/>
      <c r="X55" s="154"/>
      <c r="Y55" s="161"/>
      <c r="Z55" s="161"/>
      <c r="AA55" s="161"/>
      <c r="AB55" s="161"/>
      <c r="AC55" s="161"/>
      <c r="AD55" s="161"/>
      <c r="AE55" s="161"/>
      <c r="AF55" s="161"/>
      <c r="AG55" s="161"/>
      <c r="AH55" s="152"/>
      <c r="AI55" s="152"/>
      <c r="AJ55" s="183"/>
      <c r="AK55" s="184"/>
      <c r="AL55" s="151"/>
      <c r="AM55" s="127">
        <f>(((AS53+AT54)/3)^0.5+AP54*AN55)^2</f>
        <v>1.6561632070211261</v>
      </c>
      <c r="AN55" s="119">
        <v>1</v>
      </c>
      <c r="AO55" s="181">
        <f>ABS(AM55+AT54)/2</f>
        <v>1.6542077853782362</v>
      </c>
      <c r="AP55" s="181">
        <f>ABS(AS54+AT54)/2</f>
        <v>1.6465309357814679</v>
      </c>
      <c r="AQ55" s="181">
        <f>ABS(AP55+AO55)/2</f>
        <v>1.6503693605798522</v>
      </c>
      <c r="AR55" s="129">
        <f>(AT54+AU55)/2</f>
        <v>1.3261261818676731</v>
      </c>
      <c r="AS55" s="130" t="str">
        <f>IF(AT55&gt;0.005,"1","0")</f>
        <v>1</v>
      </c>
      <c r="AT55" s="223">
        <f>(AO55-AP55)</f>
        <v>7.676849596768287E-3</v>
      </c>
      <c r="AU55" s="132">
        <f>(INT((AS54/AY55)^0.5)+AY54*AZ55)^2</f>
        <v>1</v>
      </c>
      <c r="AV55" s="133"/>
      <c r="AW55" s="134">
        <f>(BD65+BE67)/2</f>
        <v>0</v>
      </c>
      <c r="AX55" s="135">
        <f>((AU55+AT54)/2+AU55)/2</f>
        <v>1.1630630909338366</v>
      </c>
      <c r="AY55" s="182">
        <v>10000</v>
      </c>
      <c r="AZ55" s="137">
        <v>1</v>
      </c>
      <c r="BA55" s="119"/>
      <c r="BB55" s="119"/>
      <c r="BC55" s="119"/>
      <c r="BD55" s="119"/>
      <c r="BE55" s="119"/>
      <c r="BF55" s="119"/>
      <c r="BG55" s="154"/>
      <c r="BH55" s="154"/>
      <c r="BI55" s="154"/>
      <c r="BJ55" s="154"/>
      <c r="BK55" s="161"/>
      <c r="BL55" s="161"/>
      <c r="BM55" s="161"/>
      <c r="BN55" s="161"/>
      <c r="BO55" s="161"/>
      <c r="BP55" s="161"/>
      <c r="BQ55" s="161"/>
      <c r="BR55" s="161"/>
      <c r="BS55" s="161"/>
      <c r="BT55" s="152"/>
      <c r="BU55" s="152"/>
      <c r="BV55" s="183"/>
      <c r="BW55" s="184"/>
      <c r="BX55" s="151"/>
      <c r="BY55" s="797"/>
      <c r="BZ55" s="797"/>
      <c r="CA55" s="797"/>
      <c r="CB55" s="797"/>
      <c r="CC55" s="797"/>
      <c r="CD55" s="797"/>
      <c r="CE55" s="797"/>
      <c r="CF55" s="797"/>
      <c r="CG55" s="797"/>
      <c r="CH55" s="797"/>
      <c r="CI55" s="797"/>
      <c r="CJ55" s="797"/>
      <c r="CK55" s="797"/>
      <c r="CL55" s="797"/>
      <c r="CM55" s="797"/>
      <c r="CN55" s="797"/>
      <c r="CO55" s="797"/>
      <c r="CP55" s="797"/>
      <c r="CQ55" s="797"/>
      <c r="CR55" s="797"/>
      <c r="CS55" s="797"/>
      <c r="CT55" s="797"/>
      <c r="CU55" s="797"/>
    </row>
    <row r="56" spans="1:99" ht="15.75" thickBot="1" x14ac:dyDescent="0.3">
      <c r="A56" s="185" t="s">
        <v>48</v>
      </c>
      <c r="B56" s="186"/>
      <c r="C56" s="142"/>
      <c r="D56" s="142"/>
      <c r="E56" s="142"/>
      <c r="F56" s="142"/>
      <c r="G56" s="142"/>
      <c r="H56" s="187">
        <f>(G56+F56)/2</f>
        <v>0</v>
      </c>
      <c r="I56" s="187">
        <f>(G56+H56)/2</f>
        <v>0</v>
      </c>
      <c r="J56" s="224">
        <f>(E52)</f>
        <v>1.32067</v>
      </c>
      <c r="K56" s="225">
        <f>(F52)</f>
        <v>1.31782</v>
      </c>
      <c r="L56" s="226">
        <f>D52</f>
        <v>1.3205</v>
      </c>
      <c r="M56" s="148"/>
      <c r="N56" s="149"/>
      <c r="O56" s="149"/>
      <c r="P56" s="149"/>
      <c r="Q56" s="149"/>
      <c r="R56" s="150"/>
      <c r="S56" s="151"/>
      <c r="T56" s="152"/>
      <c r="U56" s="163"/>
      <c r="V56" s="163"/>
      <c r="W56" s="163"/>
      <c r="X56" s="163"/>
      <c r="Y56" s="152"/>
      <c r="Z56" s="152"/>
      <c r="AA56" s="161"/>
      <c r="AB56" s="161"/>
      <c r="AC56" s="161"/>
      <c r="AD56" s="161"/>
      <c r="AE56" s="161"/>
      <c r="AF56" s="161"/>
      <c r="AG56" s="161"/>
      <c r="AH56" s="161"/>
      <c r="AI56" s="152"/>
      <c r="AJ56" s="191"/>
      <c r="AK56" s="192"/>
      <c r="AL56" s="151"/>
      <c r="AM56" s="185" t="s">
        <v>48</v>
      </c>
      <c r="AN56" s="186"/>
      <c r="AO56" s="142"/>
      <c r="AP56" s="142"/>
      <c r="AQ56" s="142"/>
      <c r="AR56" s="142"/>
      <c r="AS56" s="142"/>
      <c r="AT56" s="187">
        <f>(AS56+AR56)/2</f>
        <v>0</v>
      </c>
      <c r="AU56" s="187">
        <f>(AS56+AT56)/2</f>
        <v>0</v>
      </c>
      <c r="AV56" s="224">
        <f>(AQ52)</f>
        <v>1.6594899999999999</v>
      </c>
      <c r="AW56" s="225">
        <f>(AR52)</f>
        <v>1.6563300000000001</v>
      </c>
      <c r="AX56" s="226">
        <f>AP52</f>
        <v>1.65937</v>
      </c>
      <c r="AY56" s="148"/>
      <c r="AZ56" s="149"/>
      <c r="BA56" s="149"/>
      <c r="BB56" s="149"/>
      <c r="BC56" s="149"/>
      <c r="BD56" s="150"/>
      <c r="BE56" s="151"/>
      <c r="BF56" s="152"/>
      <c r="BG56" s="163"/>
      <c r="BH56" s="163"/>
      <c r="BI56" s="163"/>
      <c r="BJ56" s="163"/>
      <c r="BK56" s="152"/>
      <c r="BL56" s="152"/>
      <c r="BM56" s="161"/>
      <c r="BN56" s="161"/>
      <c r="BO56" s="161"/>
      <c r="BP56" s="161"/>
      <c r="BQ56" s="161"/>
      <c r="BR56" s="161"/>
      <c r="BS56" s="161"/>
      <c r="BT56" s="161"/>
      <c r="BU56" s="152"/>
      <c r="BV56" s="191"/>
      <c r="BW56" s="192"/>
      <c r="BX56" s="151"/>
      <c r="BY56" s="797"/>
      <c r="BZ56" s="797"/>
      <c r="CA56" s="797"/>
      <c r="CB56" s="797"/>
      <c r="CC56" s="797"/>
      <c r="CD56" s="797"/>
      <c r="CE56" s="797"/>
      <c r="CF56" s="797"/>
      <c r="CG56" s="797"/>
      <c r="CH56" s="797"/>
      <c r="CI56" s="797"/>
      <c r="CJ56" s="797"/>
      <c r="CK56" s="797"/>
      <c r="CL56" s="797"/>
      <c r="CM56" s="797"/>
      <c r="CN56" s="797"/>
      <c r="CO56" s="797"/>
      <c r="CP56" s="797"/>
      <c r="CQ56" s="797"/>
      <c r="CR56" s="797"/>
      <c r="CS56" s="797"/>
      <c r="CT56" s="797"/>
      <c r="CU56" s="797"/>
    </row>
    <row r="57" spans="1:99" x14ac:dyDescent="0.25">
      <c r="A57" s="193"/>
      <c r="B57" s="194"/>
      <c r="C57" s="157"/>
      <c r="D57" s="138"/>
      <c r="E57" s="138"/>
      <c r="F57" s="138"/>
      <c r="G57" s="158" t="str">
        <f>IF(H55&gt;0,"LONG","SHORT")</f>
        <v>LONG</v>
      </c>
      <c r="H57" s="138">
        <f>ABS(H55*1000)</f>
        <v>6.3292885039321067</v>
      </c>
      <c r="I57" s="142"/>
      <c r="J57" s="160"/>
      <c r="K57" s="160"/>
      <c r="L57" s="160"/>
      <c r="M57" s="160"/>
      <c r="N57" s="161"/>
      <c r="O57" s="161"/>
      <c r="P57" s="161"/>
      <c r="Q57" s="162"/>
      <c r="R57" s="150"/>
      <c r="S57" s="151"/>
      <c r="T57" s="163"/>
      <c r="U57" s="163"/>
      <c r="V57" s="154"/>
      <c r="W57" s="154"/>
      <c r="X57" s="154"/>
      <c r="Y57" s="161"/>
      <c r="Z57" s="161"/>
      <c r="AA57" s="161"/>
      <c r="AB57" s="161"/>
      <c r="AC57" s="161"/>
      <c r="AD57" s="161"/>
      <c r="AE57" s="161"/>
      <c r="AF57" s="161"/>
      <c r="AG57" s="161"/>
      <c r="AH57" s="161"/>
      <c r="AI57" s="152"/>
      <c r="AJ57" s="195"/>
      <c r="AK57" s="192"/>
      <c r="AL57" s="151"/>
      <c r="AM57" s="193"/>
      <c r="AN57" s="194"/>
      <c r="AO57" s="157"/>
      <c r="AP57" s="138"/>
      <c r="AQ57" s="138"/>
      <c r="AR57" s="138"/>
      <c r="AS57" s="158" t="str">
        <f>IF(AT55&gt;0,"LONG","SHORT")</f>
        <v>LONG</v>
      </c>
      <c r="AT57" s="138">
        <f>ABS(AT55*1000)</f>
        <v>7.676849596768287</v>
      </c>
      <c r="AU57" s="142"/>
      <c r="AV57" s="160"/>
      <c r="AW57" s="160"/>
      <c r="AX57" s="160"/>
      <c r="AY57" s="160"/>
      <c r="AZ57" s="161"/>
      <c r="BA57" s="161"/>
      <c r="BB57" s="161"/>
      <c r="BC57" s="162"/>
      <c r="BD57" s="150"/>
      <c r="BE57" s="151"/>
      <c r="BF57" s="163"/>
      <c r="BG57" s="163"/>
      <c r="BH57" s="154"/>
      <c r="BI57" s="154"/>
      <c r="BJ57" s="154"/>
      <c r="BK57" s="161"/>
      <c r="BL57" s="161"/>
      <c r="BM57" s="161"/>
      <c r="BN57" s="161"/>
      <c r="BO57" s="161"/>
      <c r="BP57" s="161"/>
      <c r="BQ57" s="161"/>
      <c r="BR57" s="161"/>
      <c r="BS57" s="161"/>
      <c r="BT57" s="161"/>
      <c r="BU57" s="152"/>
      <c r="BV57" s="195"/>
      <c r="BW57" s="192"/>
      <c r="BX57" s="151"/>
      <c r="BY57" s="797"/>
      <c r="BZ57" s="797"/>
      <c r="CA57" s="797"/>
      <c r="CB57" s="797"/>
      <c r="CC57" s="797"/>
      <c r="CD57" s="797"/>
      <c r="CE57" s="797"/>
      <c r="CF57" s="797"/>
      <c r="CG57" s="797"/>
      <c r="CH57" s="797"/>
      <c r="CI57" s="797"/>
      <c r="CJ57" s="797"/>
      <c r="CK57" s="797"/>
      <c r="CL57" s="797"/>
      <c r="CM57" s="797"/>
      <c r="CN57" s="797"/>
      <c r="CO57" s="797"/>
      <c r="CP57" s="797"/>
      <c r="CQ57" s="797"/>
      <c r="CR57" s="797"/>
      <c r="CS57" s="797"/>
      <c r="CT57" s="797"/>
      <c r="CU57" s="797"/>
    </row>
    <row r="58" spans="1:99" x14ac:dyDescent="0.25">
      <c r="A58" s="227">
        <v>1</v>
      </c>
      <c r="B58" s="197">
        <v>0</v>
      </c>
      <c r="C58" s="154"/>
      <c r="D58" s="154"/>
      <c r="E58" s="154"/>
      <c r="F58" s="161"/>
      <c r="G58" s="161"/>
      <c r="H58" s="191"/>
      <c r="I58" s="161"/>
      <c r="J58" s="161"/>
      <c r="K58" s="161"/>
      <c r="L58" s="161"/>
      <c r="M58" s="161"/>
      <c r="N58" s="161"/>
      <c r="O58" s="191"/>
      <c r="P58" s="149"/>
      <c r="Q58" s="149"/>
      <c r="R58" s="198"/>
      <c r="S58" s="199"/>
      <c r="T58" s="163"/>
      <c r="U58" s="154"/>
      <c r="V58" s="154"/>
      <c r="W58" s="154"/>
      <c r="X58" s="154"/>
      <c r="Y58" s="161"/>
      <c r="Z58" s="161"/>
      <c r="AA58" s="191"/>
      <c r="AB58" s="161"/>
      <c r="AC58" s="161"/>
      <c r="AD58" s="161"/>
      <c r="AE58" s="161"/>
      <c r="AF58" s="161"/>
      <c r="AG58" s="161"/>
      <c r="AH58" s="152"/>
      <c r="AI58" s="161"/>
      <c r="AJ58" s="162"/>
      <c r="AK58" s="200"/>
      <c r="AL58" s="151"/>
      <c r="AM58" s="227">
        <v>1</v>
      </c>
      <c r="AN58" s="197">
        <v>0</v>
      </c>
      <c r="AO58" s="154"/>
      <c r="AP58" s="154"/>
      <c r="AQ58" s="154"/>
      <c r="AR58" s="161"/>
      <c r="AS58" s="161"/>
      <c r="AT58" s="191"/>
      <c r="AU58" s="161"/>
      <c r="AV58" s="161"/>
      <c r="AW58" s="161"/>
      <c r="AX58" s="161"/>
      <c r="AY58" s="161"/>
      <c r="AZ58" s="161"/>
      <c r="BA58" s="191"/>
      <c r="BB58" s="149"/>
      <c r="BC58" s="149"/>
      <c r="BD58" s="198"/>
      <c r="BE58" s="199"/>
      <c r="BF58" s="163"/>
      <c r="BG58" s="154"/>
      <c r="BH58" s="154"/>
      <c r="BI58" s="154"/>
      <c r="BJ58" s="154"/>
      <c r="BK58" s="161"/>
      <c r="BL58" s="161"/>
      <c r="BM58" s="191"/>
      <c r="BN58" s="161"/>
      <c r="BO58" s="161"/>
      <c r="BP58" s="161"/>
      <c r="BQ58" s="161"/>
      <c r="BR58" s="161"/>
      <c r="BS58" s="161"/>
      <c r="BT58" s="152"/>
      <c r="BU58" s="161"/>
      <c r="BV58" s="162"/>
      <c r="BW58" s="200"/>
      <c r="BX58" s="151"/>
      <c r="BY58" s="797"/>
      <c r="BZ58" s="797"/>
      <c r="CA58" s="797"/>
      <c r="CB58" s="797"/>
      <c r="CC58" s="797"/>
      <c r="CD58" s="797"/>
      <c r="CE58" s="797"/>
      <c r="CF58" s="797"/>
      <c r="CG58" s="797"/>
      <c r="CH58" s="797"/>
      <c r="CI58" s="797"/>
      <c r="CJ58" s="797"/>
      <c r="CK58" s="797"/>
      <c r="CL58" s="797"/>
      <c r="CM58" s="797"/>
      <c r="CN58" s="797"/>
      <c r="CO58" s="797"/>
      <c r="CP58" s="797"/>
      <c r="CQ58" s="797"/>
      <c r="CR58" s="797"/>
      <c r="CS58" s="797"/>
      <c r="CT58" s="797"/>
      <c r="CU58" s="797"/>
    </row>
    <row r="59" spans="1:99" x14ac:dyDescent="0.25">
      <c r="A59" s="163">
        <v>0.01</v>
      </c>
      <c r="B59" s="154"/>
      <c r="C59" s="154"/>
      <c r="D59" s="163"/>
      <c r="E59" s="163"/>
      <c r="F59" s="191"/>
      <c r="G59" s="191"/>
      <c r="H59" s="191"/>
      <c r="I59" s="191"/>
      <c r="J59" s="191"/>
      <c r="K59" s="191"/>
      <c r="L59" s="191"/>
      <c r="M59" s="191"/>
      <c r="N59" s="228"/>
      <c r="O59" s="229"/>
      <c r="P59" s="230"/>
      <c r="Q59" s="154"/>
      <c r="R59" s="163"/>
      <c r="S59" s="204"/>
      <c r="T59" s="163"/>
      <c r="U59" s="154"/>
      <c r="V59" s="154"/>
      <c r="W59" s="163"/>
      <c r="X59" s="163"/>
      <c r="Y59" s="191"/>
      <c r="Z59" s="191"/>
      <c r="AA59" s="191"/>
      <c r="AB59" s="191"/>
      <c r="AC59" s="191"/>
      <c r="AD59" s="191"/>
      <c r="AE59" s="191"/>
      <c r="AF59" s="191"/>
      <c r="AG59" s="201"/>
      <c r="AH59" s="205"/>
      <c r="AI59" s="206"/>
      <c r="AJ59" s="149"/>
      <c r="AK59" s="152"/>
      <c r="AL59" s="151"/>
      <c r="AM59" s="163">
        <v>0.01</v>
      </c>
      <c r="AN59" s="154"/>
      <c r="AO59" s="154"/>
      <c r="AP59" s="163"/>
      <c r="AQ59" s="163"/>
      <c r="AR59" s="191"/>
      <c r="AS59" s="191"/>
      <c r="AT59" s="191"/>
      <c r="AU59" s="191"/>
      <c r="AV59" s="191"/>
      <c r="AW59" s="191"/>
      <c r="AX59" s="191"/>
      <c r="AY59" s="191"/>
      <c r="AZ59" s="228"/>
      <c r="BA59" s="229"/>
      <c r="BB59" s="230"/>
      <c r="BC59" s="154"/>
      <c r="BD59" s="163"/>
      <c r="BE59" s="204"/>
      <c r="BF59" s="163"/>
      <c r="BG59" s="154"/>
      <c r="BH59" s="154"/>
      <c r="BI59" s="163"/>
      <c r="BJ59" s="163"/>
      <c r="BK59" s="191"/>
      <c r="BL59" s="191"/>
      <c r="BM59" s="191"/>
      <c r="BN59" s="191"/>
      <c r="BO59" s="191"/>
      <c r="BP59" s="191"/>
      <c r="BQ59" s="191"/>
      <c r="BR59" s="191"/>
      <c r="BS59" s="201"/>
      <c r="BT59" s="205"/>
      <c r="BU59" s="206"/>
      <c r="BV59" s="149"/>
      <c r="BW59" s="152"/>
      <c r="BX59" s="151"/>
      <c r="BY59" s="797"/>
      <c r="BZ59" s="797"/>
      <c r="CA59" s="797"/>
      <c r="CB59" s="797"/>
      <c r="CC59" s="797"/>
      <c r="CD59" s="797"/>
      <c r="CE59" s="797"/>
      <c r="CF59" s="797"/>
      <c r="CG59" s="797"/>
      <c r="CH59" s="797"/>
      <c r="CI59" s="797"/>
      <c r="CJ59" s="797"/>
      <c r="CK59" s="797"/>
      <c r="CL59" s="797"/>
      <c r="CM59" s="797"/>
      <c r="CN59" s="797"/>
      <c r="CO59" s="797"/>
      <c r="CP59" s="797"/>
      <c r="CQ59" s="797"/>
      <c r="CR59" s="797"/>
      <c r="CS59" s="797"/>
      <c r="CT59" s="797"/>
      <c r="CU59" s="797"/>
    </row>
    <row r="60" spans="1:99" x14ac:dyDescent="0.25">
      <c r="A60" s="231"/>
      <c r="B60" s="231"/>
      <c r="C60" s="232"/>
      <c r="D60" s="233"/>
      <c r="E60" s="234"/>
      <c r="F60" s="234"/>
      <c r="G60" s="234"/>
      <c r="H60" s="235"/>
      <c r="I60" s="236"/>
      <c r="J60" s="236"/>
      <c r="K60" s="236"/>
      <c r="L60" s="236"/>
      <c r="M60" s="236"/>
      <c r="N60" s="236"/>
      <c r="O60" s="236"/>
      <c r="P60" s="236"/>
      <c r="Q60" s="236"/>
      <c r="R60" s="236"/>
      <c r="S60" s="237"/>
      <c r="T60" s="163"/>
      <c r="U60" s="154"/>
      <c r="V60" s="154"/>
      <c r="W60" s="163"/>
      <c r="X60" s="163"/>
      <c r="Y60" s="191"/>
      <c r="Z60" s="149"/>
      <c r="AA60" s="191"/>
      <c r="AB60" s="191"/>
      <c r="AC60" s="191"/>
      <c r="AD60" s="191"/>
      <c r="AE60" s="191"/>
      <c r="AF60" s="191"/>
      <c r="AG60" s="207"/>
      <c r="AH60" s="212"/>
      <c r="AI60" s="213"/>
      <c r="AJ60" s="162"/>
      <c r="AK60" s="152"/>
      <c r="AL60" s="151"/>
      <c r="AM60" s="231"/>
      <c r="AN60" s="231"/>
      <c r="AO60" s="232"/>
      <c r="AP60" s="233"/>
      <c r="AQ60" s="234"/>
      <c r="AR60" s="234"/>
      <c r="AS60" s="234"/>
      <c r="AT60" s="235"/>
      <c r="AU60" s="236"/>
      <c r="AV60" s="236"/>
      <c r="AW60" s="236"/>
      <c r="AX60" s="236"/>
      <c r="AY60" s="236"/>
      <c r="AZ60" s="236"/>
      <c r="BA60" s="236"/>
      <c r="BB60" s="236"/>
      <c r="BC60" s="236"/>
      <c r="BD60" s="236"/>
      <c r="BE60" s="237"/>
      <c r="BF60" s="163"/>
      <c r="BG60" s="154"/>
      <c r="BH60" s="154"/>
      <c r="BI60" s="163"/>
      <c r="BJ60" s="163"/>
      <c r="BK60" s="191"/>
      <c r="BL60" s="149"/>
      <c r="BM60" s="191"/>
      <c r="BN60" s="191"/>
      <c r="BO60" s="191"/>
      <c r="BP60" s="191"/>
      <c r="BQ60" s="191"/>
      <c r="BR60" s="191"/>
      <c r="BS60" s="207"/>
      <c r="BT60" s="212"/>
      <c r="BU60" s="213"/>
      <c r="BV60" s="162"/>
      <c r="BW60" s="152"/>
      <c r="BX60" s="151"/>
      <c r="BY60" s="797"/>
      <c r="BZ60" s="797"/>
      <c r="CA60" s="797"/>
      <c r="CB60" s="797"/>
      <c r="CC60" s="797"/>
      <c r="CD60" s="797"/>
      <c r="CE60" s="797"/>
      <c r="CF60" s="797"/>
      <c r="CG60" s="797"/>
      <c r="CH60" s="797"/>
      <c r="CI60" s="797"/>
      <c r="CJ60" s="797"/>
      <c r="CK60" s="797"/>
      <c r="CL60" s="797"/>
      <c r="CM60" s="797"/>
      <c r="CN60" s="797"/>
      <c r="CO60" s="797"/>
      <c r="CP60" s="797"/>
      <c r="CQ60" s="797"/>
      <c r="CR60" s="797"/>
      <c r="CS60" s="797"/>
      <c r="CT60" s="797"/>
      <c r="CU60" s="797"/>
    </row>
    <row r="61" spans="1:99" x14ac:dyDescent="0.25">
      <c r="A61" s="238" t="str">
        <f>N125</f>
        <v>0</v>
      </c>
      <c r="B61" s="239"/>
      <c r="C61" s="240"/>
      <c r="D61" s="241" t="str">
        <f>IF((B63-A63)&gt;(C63-D63),"1","0")</f>
        <v>0</v>
      </c>
      <c r="E61" s="242"/>
      <c r="F61" s="243" t="str">
        <f>N125</f>
        <v>0</v>
      </c>
      <c r="G61" s="240"/>
      <c r="H61" s="234"/>
      <c r="I61" s="236"/>
      <c r="J61" s="236"/>
      <c r="K61" s="243" t="str">
        <f>N125</f>
        <v>0</v>
      </c>
      <c r="L61" s="236"/>
      <c r="M61" s="236"/>
      <c r="N61" s="236"/>
      <c r="O61" s="236"/>
      <c r="P61" s="236"/>
      <c r="Q61" s="236"/>
      <c r="R61" s="236"/>
      <c r="S61" s="244"/>
      <c r="T61" s="171"/>
      <c r="U61" s="171"/>
      <c r="V61" s="245"/>
      <c r="W61" s="171"/>
      <c r="X61" s="152"/>
      <c r="Y61" s="152"/>
      <c r="Z61" s="245"/>
      <c r="AA61" s="152"/>
      <c r="AB61" s="171"/>
      <c r="AC61" s="151"/>
      <c r="AD61" s="151"/>
      <c r="AE61" s="151"/>
      <c r="AF61" s="246"/>
      <c r="AG61" s="247"/>
      <c r="AH61" s="247"/>
      <c r="AI61" s="247"/>
      <c r="AJ61" s="248"/>
      <c r="AK61" s="249"/>
      <c r="AL61" s="244"/>
      <c r="AM61" s="238" t="str">
        <f>AZ125</f>
        <v>0</v>
      </c>
      <c r="AN61" s="239"/>
      <c r="AO61" s="240"/>
      <c r="AP61" s="241" t="str">
        <f>IF((AN63-AM63)&gt;(AO63-AP63),"1","0")</f>
        <v>1</v>
      </c>
      <c r="AQ61" s="242"/>
      <c r="AR61" s="243" t="str">
        <f>AZ125</f>
        <v>0</v>
      </c>
      <c r="AS61" s="240"/>
      <c r="AT61" s="234"/>
      <c r="AU61" s="236"/>
      <c r="AV61" s="236"/>
      <c r="AW61" s="243" t="str">
        <f>AZ125</f>
        <v>0</v>
      </c>
      <c r="AX61" s="236"/>
      <c r="AY61" s="236"/>
      <c r="AZ61" s="236"/>
      <c r="BA61" s="236"/>
      <c r="BB61" s="236"/>
      <c r="BC61" s="236"/>
      <c r="BD61" s="236"/>
      <c r="BE61" s="244"/>
      <c r="BF61" s="171"/>
      <c r="BG61" s="171"/>
      <c r="BH61" s="245"/>
      <c r="BI61" s="171"/>
      <c r="BJ61" s="152"/>
      <c r="BK61" s="152"/>
      <c r="BL61" s="245"/>
      <c r="BM61" s="152"/>
      <c r="BN61" s="171"/>
      <c r="BO61" s="151"/>
      <c r="BP61" s="151"/>
      <c r="BQ61" s="151"/>
      <c r="BR61" s="246"/>
      <c r="BS61" s="247"/>
      <c r="BT61" s="247"/>
      <c r="BU61" s="247"/>
      <c r="BV61" s="248"/>
      <c r="BW61" s="249"/>
      <c r="BX61" s="244"/>
      <c r="BY61" s="797"/>
      <c r="BZ61" s="797"/>
      <c r="CA61" s="797"/>
      <c r="CB61" s="797"/>
      <c r="CC61" s="797"/>
      <c r="CD61" s="797"/>
      <c r="CE61" s="797"/>
      <c r="CF61" s="797"/>
      <c r="CG61" s="797"/>
      <c r="CH61" s="797"/>
      <c r="CI61" s="797"/>
      <c r="CJ61" s="797"/>
      <c r="CK61" s="797"/>
      <c r="CL61" s="797"/>
      <c r="CM61" s="797"/>
      <c r="CN61" s="797"/>
      <c r="CO61" s="797"/>
      <c r="CP61" s="797"/>
      <c r="CQ61" s="797"/>
      <c r="CR61" s="797"/>
      <c r="CS61" s="797"/>
      <c r="CT61" s="797"/>
      <c r="CU61" s="797"/>
    </row>
    <row r="62" spans="1:99" ht="15.75" thickBot="1" x14ac:dyDescent="0.3">
      <c r="A62" s="240"/>
      <c r="B62" s="240"/>
      <c r="C62" s="240"/>
      <c r="D62" s="240"/>
      <c r="E62" s="240"/>
      <c r="F62" s="240"/>
      <c r="G62" s="240"/>
      <c r="H62" s="240"/>
      <c r="I62" s="236"/>
      <c r="J62" s="236"/>
      <c r="K62" s="236"/>
      <c r="L62" s="236"/>
      <c r="M62" s="236"/>
      <c r="N62" s="236"/>
      <c r="O62" s="236"/>
      <c r="P62" s="236"/>
      <c r="Q62" s="236"/>
      <c r="R62" s="236"/>
      <c r="S62" s="244"/>
      <c r="T62" s="171"/>
      <c r="U62" s="171"/>
      <c r="V62" s="245"/>
      <c r="W62" s="171"/>
      <c r="X62" s="152"/>
      <c r="Y62" s="152"/>
      <c r="Z62" s="245"/>
      <c r="AA62" s="152"/>
      <c r="AB62" s="171"/>
      <c r="AC62" s="151"/>
      <c r="AD62" s="151"/>
      <c r="AE62" s="151"/>
      <c r="AF62" s="246"/>
      <c r="AG62" s="247"/>
      <c r="AH62" s="247"/>
      <c r="AI62" s="247"/>
      <c r="AJ62" s="245"/>
      <c r="AK62" s="250"/>
      <c r="AL62" s="244"/>
      <c r="AM62" s="240"/>
      <c r="AN62" s="240"/>
      <c r="AO62" s="240"/>
      <c r="AP62" s="240"/>
      <c r="AQ62" s="240"/>
      <c r="AR62" s="240"/>
      <c r="AS62" s="240"/>
      <c r="AT62" s="240"/>
      <c r="AU62" s="236"/>
      <c r="AV62" s="236"/>
      <c r="AW62" s="236"/>
      <c r="AX62" s="236"/>
      <c r="AY62" s="236"/>
      <c r="AZ62" s="236"/>
      <c r="BA62" s="236"/>
      <c r="BB62" s="236"/>
      <c r="BC62" s="236"/>
      <c r="BD62" s="236"/>
      <c r="BE62" s="244"/>
      <c r="BF62" s="171"/>
      <c r="BG62" s="171"/>
      <c r="BH62" s="245"/>
      <c r="BI62" s="171"/>
      <c r="BJ62" s="152"/>
      <c r="BK62" s="152"/>
      <c r="BL62" s="245"/>
      <c r="BM62" s="152"/>
      <c r="BN62" s="171"/>
      <c r="BO62" s="151"/>
      <c r="BP62" s="151"/>
      <c r="BQ62" s="151"/>
      <c r="BR62" s="246"/>
      <c r="BS62" s="247"/>
      <c r="BT62" s="247"/>
      <c r="BU62" s="247"/>
      <c r="BV62" s="245"/>
      <c r="BW62" s="250"/>
      <c r="BX62" s="244"/>
      <c r="BY62" s="797"/>
      <c r="BZ62" s="797"/>
      <c r="CA62" s="797"/>
      <c r="CB62" s="797"/>
      <c r="CC62" s="797"/>
      <c r="CD62" s="797"/>
      <c r="CE62" s="797"/>
      <c r="CF62" s="797"/>
      <c r="CG62" s="797"/>
      <c r="CH62" s="797"/>
      <c r="CI62" s="797"/>
      <c r="CJ62" s="797"/>
      <c r="CK62" s="797"/>
      <c r="CL62" s="797"/>
      <c r="CM62" s="797"/>
      <c r="CN62" s="797"/>
      <c r="CO62" s="797"/>
      <c r="CP62" s="797"/>
      <c r="CQ62" s="797"/>
      <c r="CR62" s="797"/>
      <c r="CS62" s="797"/>
      <c r="CT62" s="797"/>
      <c r="CU62" s="797"/>
    </row>
    <row r="63" spans="1:99" ht="15.75" thickBot="1" x14ac:dyDescent="0.3">
      <c r="A63" s="251">
        <f>(A75+A71*2)/3</f>
        <v>133953.02382439794</v>
      </c>
      <c r="B63" s="251">
        <f>(A65+A72*2)/3</f>
        <v>134531.95536217405</v>
      </c>
      <c r="C63" s="252">
        <f>A33</f>
        <v>133988</v>
      </c>
      <c r="D63" s="253">
        <f>B33</f>
        <v>132202</v>
      </c>
      <c r="E63" s="254">
        <f>(I75+K71+Q81)/3</f>
        <v>133654.08781096819</v>
      </c>
      <c r="F63" s="254">
        <f>(J75+K73+R82)/3</f>
        <v>133220.10465226718</v>
      </c>
      <c r="G63" s="254">
        <f>I78</f>
        <v>133163.30109375002</v>
      </c>
      <c r="H63" s="255">
        <f>I77</f>
        <v>133126.78477992237</v>
      </c>
      <c r="I63" s="256">
        <f>((D64+F64+H64)^0.5)*10000</f>
        <v>15809.72020203696</v>
      </c>
      <c r="J63" s="256">
        <f>INT(I63/3)</f>
        <v>5269</v>
      </c>
      <c r="K63" s="256">
        <f>(J63)/30000</f>
        <v>0.17563333333333334</v>
      </c>
      <c r="L63" s="257"/>
      <c r="M63" s="257"/>
      <c r="N63" s="257"/>
      <c r="O63" s="257"/>
      <c r="P63" s="257"/>
      <c r="Q63" s="257"/>
      <c r="R63" s="257"/>
      <c r="S63" s="151"/>
      <c r="T63" s="171"/>
      <c r="U63" s="171"/>
      <c r="V63" s="245"/>
      <c r="W63" s="171"/>
      <c r="X63" s="258"/>
      <c r="Y63" s="258"/>
      <c r="Z63" s="259"/>
      <c r="AA63" s="258"/>
      <c r="AB63" s="171"/>
      <c r="AC63" s="151"/>
      <c r="AD63" s="151"/>
      <c r="AE63" s="151"/>
      <c r="AF63" s="151"/>
      <c r="AG63" s="171"/>
      <c r="AH63" s="171"/>
      <c r="AI63" s="171"/>
      <c r="AJ63" s="260"/>
      <c r="AK63" s="245"/>
      <c r="AL63" s="151"/>
      <c r="AM63" s="251">
        <f>(AM75+AM71*2)/3</f>
        <v>164903.69194579308</v>
      </c>
      <c r="AN63" s="251">
        <f>(AM65+AM72*2)/3</f>
        <v>166320.55989072111</v>
      </c>
      <c r="AO63" s="252">
        <f>AM33</f>
        <v>165973</v>
      </c>
      <c r="AP63" s="253">
        <f>AN33</f>
        <v>165359</v>
      </c>
      <c r="AQ63" s="254">
        <f>(AU75+AW71+BC81)/3</f>
        <v>165865.13506624813</v>
      </c>
      <c r="AR63" s="254">
        <f>(AV75+AW73+BD82)/3</f>
        <v>165629.35679291605</v>
      </c>
      <c r="AS63" s="254">
        <f>AU78</f>
        <v>165568.36776041667</v>
      </c>
      <c r="AT63" s="255">
        <f>AU77</f>
        <v>165568.21466013868</v>
      </c>
      <c r="AU63" s="256">
        <f>((AP64+AR64+AT64)^0.5)*10000</f>
        <v>13897.386840963783</v>
      </c>
      <c r="AV63" s="256">
        <f>INT(AU63/3)</f>
        <v>4632</v>
      </c>
      <c r="AW63" s="256">
        <f>(AV63)/30000</f>
        <v>0.15440000000000001</v>
      </c>
      <c r="AX63" s="257"/>
      <c r="AY63" s="257"/>
      <c r="AZ63" s="257"/>
      <c r="BA63" s="257"/>
      <c r="BB63" s="257"/>
      <c r="BC63" s="257"/>
      <c r="BD63" s="257"/>
      <c r="BE63" s="151"/>
      <c r="BF63" s="171"/>
      <c r="BG63" s="171"/>
      <c r="BH63" s="245"/>
      <c r="BI63" s="171"/>
      <c r="BJ63" s="258"/>
      <c r="BK63" s="258"/>
      <c r="BL63" s="259"/>
      <c r="BM63" s="258"/>
      <c r="BN63" s="171"/>
      <c r="BO63" s="151"/>
      <c r="BP63" s="151"/>
      <c r="BQ63" s="151"/>
      <c r="BR63" s="151"/>
      <c r="BS63" s="171"/>
      <c r="BT63" s="171"/>
      <c r="BU63" s="171"/>
      <c r="BV63" s="260"/>
      <c r="BW63" s="245"/>
      <c r="BX63" s="151"/>
      <c r="BY63" s="797"/>
      <c r="BZ63" s="797"/>
      <c r="CA63" s="797"/>
      <c r="CB63" s="797"/>
      <c r="CC63" s="797"/>
      <c r="CD63" s="797"/>
      <c r="CE63" s="797"/>
      <c r="CF63" s="797"/>
      <c r="CG63" s="797"/>
      <c r="CH63" s="797"/>
      <c r="CI63" s="797"/>
      <c r="CJ63" s="797"/>
      <c r="CK63" s="797"/>
      <c r="CL63" s="797"/>
      <c r="CM63" s="797"/>
      <c r="CN63" s="797"/>
      <c r="CO63" s="797"/>
      <c r="CP63" s="797"/>
      <c r="CQ63" s="797"/>
      <c r="CR63" s="797"/>
      <c r="CS63" s="797"/>
      <c r="CT63" s="797"/>
      <c r="CU63" s="797"/>
    </row>
    <row r="64" spans="1:99" x14ac:dyDescent="0.25">
      <c r="A64" s="261">
        <f>(J66+45/360)^2/100</f>
        <v>133965.15015624999</v>
      </c>
      <c r="B64" s="262">
        <f>(A63+A65)/2</f>
        <v>134228.04305210119</v>
      </c>
      <c r="C64" s="263">
        <f>SUM((D64+F64+H64)/3)+((D69+F69+H69)/3)</f>
        <v>1.4525739975045631</v>
      </c>
      <c r="D64" s="264">
        <f>SUM(C63-D63)-D74-E71</f>
        <v>1</v>
      </c>
      <c r="E64" s="265">
        <v>2</v>
      </c>
      <c r="F64" s="266">
        <f>SUM(E63-F63)-D74-E72</f>
        <v>0.98315870101214387</v>
      </c>
      <c r="G64" s="267">
        <f>SUM(H70+H72)/2</f>
        <v>133145.20146620189</v>
      </c>
      <c r="H64" s="268">
        <f>SUM(G63-H63)-D74-E73</f>
        <v>0.51631382765481248</v>
      </c>
      <c r="I64" s="256">
        <f>SUM((D66+F66+H66)^0.5)*10000</f>
        <v>13631.762409339199</v>
      </c>
      <c r="J64" s="256">
        <f>INT(I64/3)</f>
        <v>4543</v>
      </c>
      <c r="K64" s="256">
        <f>J64/10000</f>
        <v>0.45429999999999998</v>
      </c>
      <c r="L64" s="257"/>
      <c r="M64" s="257"/>
      <c r="N64" s="257"/>
      <c r="O64" s="257"/>
      <c r="P64" s="257"/>
      <c r="Q64" s="257"/>
      <c r="R64" s="257"/>
      <c r="S64" s="151"/>
      <c r="T64" s="152"/>
      <c r="U64" s="154"/>
      <c r="V64" s="154"/>
      <c r="W64" s="154"/>
      <c r="X64" s="154"/>
      <c r="Y64" s="149"/>
      <c r="Z64" s="149"/>
      <c r="AA64" s="149"/>
      <c r="AB64" s="149"/>
      <c r="AC64" s="149"/>
      <c r="AD64" s="149"/>
      <c r="AE64" s="149"/>
      <c r="AF64" s="149"/>
      <c r="AG64" s="149"/>
      <c r="AH64" s="149"/>
      <c r="AI64" s="149"/>
      <c r="AJ64" s="149"/>
      <c r="AK64" s="150"/>
      <c r="AL64" s="151"/>
      <c r="AM64" s="261">
        <f>(AV66+45/360)^2/100</f>
        <v>164927.36265625001</v>
      </c>
      <c r="AN64" s="262">
        <f>(AM63+AM65)/2</f>
        <v>165589.83347136289</v>
      </c>
      <c r="AO64" s="263">
        <f>SUM((AP64+AR64+AT64)/3)+((AP69+AR69+AT69)/3)</f>
        <v>1.1567438840478039</v>
      </c>
      <c r="AP64" s="264">
        <f>SUM(AO63-AP63)-AP74-AQ71</f>
        <v>1</v>
      </c>
      <c r="AQ64" s="265">
        <v>2</v>
      </c>
      <c r="AR64" s="266">
        <f>SUM(AQ63-AR63)-AP74-AQ72</f>
        <v>0.77827333207824267</v>
      </c>
      <c r="AS64" s="267">
        <f>SUM(AT70+AT72)/2</f>
        <v>165568.44337228339</v>
      </c>
      <c r="AT64" s="268">
        <f>SUM(AS63-AT63)-AP74-AQ73</f>
        <v>0.1531002779956907</v>
      </c>
      <c r="AU64" s="256">
        <f>SUM((AP66+AR66+AT66)^0.5)*10000</f>
        <v>12405.071713091698</v>
      </c>
      <c r="AV64" s="256">
        <f>INT(AU64/3)</f>
        <v>4135</v>
      </c>
      <c r="AW64" s="256">
        <f>AV64/10000</f>
        <v>0.41349999999999998</v>
      </c>
      <c r="AX64" s="257"/>
      <c r="AY64" s="257"/>
      <c r="AZ64" s="257"/>
      <c r="BA64" s="257"/>
      <c r="BB64" s="257"/>
      <c r="BC64" s="257"/>
      <c r="BD64" s="257"/>
      <c r="BE64" s="151"/>
      <c r="BF64" s="152"/>
      <c r="BG64" s="154"/>
      <c r="BH64" s="154"/>
      <c r="BI64" s="154"/>
      <c r="BJ64" s="154"/>
      <c r="BK64" s="149"/>
      <c r="BL64" s="149"/>
      <c r="BM64" s="149"/>
      <c r="BN64" s="149"/>
      <c r="BO64" s="149"/>
      <c r="BP64" s="149"/>
      <c r="BQ64" s="149"/>
      <c r="BR64" s="149"/>
      <c r="BS64" s="149"/>
      <c r="BT64" s="149"/>
      <c r="BU64" s="149"/>
      <c r="BV64" s="149"/>
      <c r="BW64" s="150"/>
      <c r="BX64" s="151"/>
      <c r="BY64" s="797"/>
      <c r="BZ64" s="797"/>
      <c r="CA64" s="797"/>
      <c r="CB64" s="797"/>
      <c r="CC64" s="797"/>
      <c r="CD64" s="797"/>
      <c r="CE64" s="797"/>
      <c r="CF64" s="797"/>
      <c r="CG64" s="797"/>
      <c r="CH64" s="797"/>
      <c r="CI64" s="797"/>
      <c r="CJ64" s="797"/>
      <c r="CK64" s="797"/>
      <c r="CL64" s="797"/>
      <c r="CM64" s="797"/>
      <c r="CN64" s="797"/>
      <c r="CO64" s="797"/>
      <c r="CP64" s="797"/>
      <c r="CQ64" s="797"/>
      <c r="CR64" s="797"/>
      <c r="CS64" s="797"/>
      <c r="CT64" s="797"/>
      <c r="CU64" s="797"/>
    </row>
    <row r="65" spans="1:99" ht="15.75" thickBot="1" x14ac:dyDescent="0.3">
      <c r="A65" s="263">
        <f>(A72+K67)/2</f>
        <v>134503.06227980444</v>
      </c>
      <c r="B65" s="263">
        <f>SUM((A72-A74)+A71)/2</f>
        <v>134416.02079425086</v>
      </c>
      <c r="C65" s="263">
        <f>SUM(D70+D72)/2</f>
        <v>133095.21492133377</v>
      </c>
      <c r="D65" s="269">
        <f>SUM(C63+D63)/2</f>
        <v>133095</v>
      </c>
      <c r="E65" s="269">
        <f>SUM(D71+D73)/2</f>
        <v>133095.06997377792</v>
      </c>
      <c r="F65" s="269">
        <f>SUM(E63+F63)/2</f>
        <v>133437.09623161767</v>
      </c>
      <c r="G65" s="267">
        <f>SUM(H71+H73)/2</f>
        <v>133145.04518451728</v>
      </c>
      <c r="H65" s="267">
        <f>SUM(G63+H63)/2</f>
        <v>133145.04293683619</v>
      </c>
      <c r="I65" s="256">
        <f>K64*K63</f>
        <v>7.9790223333333327E-2</v>
      </c>
      <c r="J65" s="256"/>
      <c r="K65" s="256"/>
      <c r="L65" s="257"/>
      <c r="M65" s="257"/>
      <c r="N65" s="257"/>
      <c r="O65" s="257"/>
      <c r="P65" s="257"/>
      <c r="Q65" s="257"/>
      <c r="R65" s="257"/>
      <c r="S65" s="151"/>
      <c r="T65" s="163"/>
      <c r="U65" s="154"/>
      <c r="V65" s="164"/>
      <c r="W65" s="154"/>
      <c r="X65" s="163"/>
      <c r="Y65" s="165"/>
      <c r="Z65" s="161"/>
      <c r="AA65" s="152"/>
      <c r="AB65" s="161"/>
      <c r="AC65" s="161"/>
      <c r="AD65" s="161"/>
      <c r="AE65" s="161"/>
      <c r="AF65" s="161"/>
      <c r="AG65" s="161"/>
      <c r="AH65" s="161"/>
      <c r="AI65" s="161"/>
      <c r="AJ65" s="162"/>
      <c r="AK65" s="150"/>
      <c r="AL65" s="151"/>
      <c r="AM65" s="263">
        <f>(AM72+AW67)/2</f>
        <v>166275.97499693267</v>
      </c>
      <c r="AN65" s="263">
        <f>SUM((AM72-AM74)+AM71)/2</f>
        <v>165731.86076590407</v>
      </c>
      <c r="AO65" s="263">
        <f>SUM(AP70+AP72)/2</f>
        <v>165666.07815332001</v>
      </c>
      <c r="AP65" s="269">
        <f>SUM(AO63+AP63)/2</f>
        <v>165666</v>
      </c>
      <c r="AQ65" s="269">
        <f>SUM(AP71+AP73)/2</f>
        <v>165666.05176887999</v>
      </c>
      <c r="AR65" s="269">
        <f>SUM(AQ63+AR63)/2</f>
        <v>165747.2459295821</v>
      </c>
      <c r="AS65" s="267">
        <f>SUM(AT71+AT73)/2</f>
        <v>165568.20508653004</v>
      </c>
      <c r="AT65" s="267">
        <f>SUM(AS63+AT63)/2</f>
        <v>165568.29121027768</v>
      </c>
      <c r="AU65" s="256">
        <f>AW64*AW63</f>
        <v>6.3844399999999996E-2</v>
      </c>
      <c r="AV65" s="256"/>
      <c r="AW65" s="256"/>
      <c r="AX65" s="257"/>
      <c r="AY65" s="257"/>
      <c r="AZ65" s="257"/>
      <c r="BA65" s="257"/>
      <c r="BB65" s="257"/>
      <c r="BC65" s="257"/>
      <c r="BD65" s="257"/>
      <c r="BE65" s="151"/>
      <c r="BF65" s="163"/>
      <c r="BG65" s="154"/>
      <c r="BH65" s="164"/>
      <c r="BI65" s="154"/>
      <c r="BJ65" s="163"/>
      <c r="BK65" s="165"/>
      <c r="BL65" s="161"/>
      <c r="BM65" s="152"/>
      <c r="BN65" s="161"/>
      <c r="BO65" s="161"/>
      <c r="BP65" s="161"/>
      <c r="BQ65" s="161"/>
      <c r="BR65" s="161"/>
      <c r="BS65" s="161"/>
      <c r="BT65" s="161"/>
      <c r="BU65" s="161"/>
      <c r="BV65" s="162"/>
      <c r="BW65" s="150"/>
      <c r="BX65" s="151"/>
      <c r="BY65" s="797"/>
      <c r="BZ65" s="797"/>
      <c r="CA65" s="797"/>
      <c r="CB65" s="797"/>
      <c r="CC65" s="797"/>
      <c r="CD65" s="797"/>
      <c r="CE65" s="797"/>
      <c r="CF65" s="797"/>
      <c r="CG65" s="797"/>
      <c r="CH65" s="797"/>
      <c r="CI65" s="797"/>
      <c r="CJ65" s="797"/>
      <c r="CK65" s="797"/>
      <c r="CL65" s="797"/>
      <c r="CM65" s="797"/>
      <c r="CN65" s="797"/>
      <c r="CO65" s="797"/>
      <c r="CP65" s="797"/>
      <c r="CQ65" s="797"/>
      <c r="CR65" s="797"/>
      <c r="CS65" s="797"/>
      <c r="CT65" s="797"/>
      <c r="CU65" s="797"/>
    </row>
    <row r="66" spans="1:99" ht="15.75" thickBot="1" x14ac:dyDescent="0.3">
      <c r="A66" s="270">
        <f>(B63+A72+B65)/3</f>
        <v>134498.12601992793</v>
      </c>
      <c r="B66" s="751">
        <f>SUM((A72+A74))</f>
        <v>134211.36077624356</v>
      </c>
      <c r="C66" s="263">
        <f>SUM(C65+E66+G64+F80)/4</f>
        <v>133131.75824219728</v>
      </c>
      <c r="D66" s="271">
        <f>SUM((((D65*0.6)-2)/-2)-D75-E74)</f>
        <v>0.5</v>
      </c>
      <c r="E66" s="265">
        <f>SUM(F72+F70)/2</f>
        <v>133437.53333008825</v>
      </c>
      <c r="F66" s="271">
        <f>SUM((((F65*0.6)-2)/-2)-D75-E75)</f>
        <v>0.87113051470078062</v>
      </c>
      <c r="G66" s="272">
        <f>(G68+G67+A71)/3</f>
        <v>133050.48174418183</v>
      </c>
      <c r="H66" s="271">
        <f>SUM((((H65*0.6)-2)/-2)-D75-E76)</f>
        <v>0.48711894914595177</v>
      </c>
      <c r="I66" s="256">
        <f>((A71*100))^0.5</f>
        <v>3659.9262090652528</v>
      </c>
      <c r="J66" s="273">
        <f>INT(I66)+J77</f>
        <v>3660</v>
      </c>
      <c r="K66" s="256">
        <f>((J66)+45/360)^2/100</f>
        <v>133965.15015624999</v>
      </c>
      <c r="L66" s="257"/>
      <c r="M66" s="257"/>
      <c r="N66" s="257"/>
      <c r="O66" s="257"/>
      <c r="P66" s="257"/>
      <c r="Q66" s="257"/>
      <c r="R66" s="257"/>
      <c r="S66" s="151"/>
      <c r="T66" s="163"/>
      <c r="U66" s="163"/>
      <c r="V66" s="154"/>
      <c r="W66" s="154"/>
      <c r="X66" s="173"/>
      <c r="Y66" s="174"/>
      <c r="Z66" s="161"/>
      <c r="AA66" s="161"/>
      <c r="AB66" s="161"/>
      <c r="AC66" s="161"/>
      <c r="AD66" s="161"/>
      <c r="AE66" s="161"/>
      <c r="AF66" s="161"/>
      <c r="AG66" s="161"/>
      <c r="AH66" s="161"/>
      <c r="AI66" s="161"/>
      <c r="AJ66" s="149"/>
      <c r="AK66" s="171"/>
      <c r="AL66" s="151"/>
      <c r="AM66" s="270">
        <f>(AN63+AM72+AN65)/3</f>
        <v>166131.75766474684</v>
      </c>
      <c r="AN66" s="750">
        <f>SUM((AM72+AM74))</f>
        <v>166120.94094712418</v>
      </c>
      <c r="AO66" s="263">
        <f>SUM(AO65+AQ66+AS64+AR80)/4</f>
        <v>165625.14649926932</v>
      </c>
      <c r="AP66" s="271">
        <f>SUM((((AP65*0.6)-2)/-2)-AP75-AQ74)</f>
        <v>0.20000000000436557</v>
      </c>
      <c r="AQ66" s="265">
        <f>SUM(AR72+AR70)/2</f>
        <v>165747.60612081055</v>
      </c>
      <c r="AR66" s="271">
        <f>SUM((((AR65*0.6)-2)/-2)-AP75-AQ75)</f>
        <v>0.82622112536773784</v>
      </c>
      <c r="AS66" s="272">
        <f>(AS68+AS67+AM71)/3</f>
        <v>164892.09487802154</v>
      </c>
      <c r="AT66" s="271">
        <f>SUM((((AT65*0.6)-2)/-2)-AP75-AQ76)</f>
        <v>0.51263691669737455</v>
      </c>
      <c r="AU66" s="256">
        <f>((AM71*100))^0.5</f>
        <v>4060.7752683902822</v>
      </c>
      <c r="AV66" s="273">
        <f>INT(AU66)+AV77</f>
        <v>4061</v>
      </c>
      <c r="AW66" s="256">
        <f>((AV66)+45/360)^2/100</f>
        <v>164927.36265625001</v>
      </c>
      <c r="AX66" s="257"/>
      <c r="AY66" s="257"/>
      <c r="AZ66" s="257"/>
      <c r="BA66" s="257"/>
      <c r="BB66" s="257"/>
      <c r="BC66" s="257"/>
      <c r="BD66" s="257"/>
      <c r="BE66" s="151"/>
      <c r="BF66" s="163"/>
      <c r="BG66" s="163"/>
      <c r="BH66" s="154"/>
      <c r="BI66" s="154"/>
      <c r="BJ66" s="173"/>
      <c r="BK66" s="174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49"/>
      <c r="BW66" s="171"/>
      <c r="BX66" s="151"/>
      <c r="BY66" s="797"/>
      <c r="BZ66" s="797"/>
      <c r="CA66" s="797"/>
      <c r="CB66" s="797"/>
      <c r="CC66" s="797"/>
      <c r="CD66" s="797"/>
      <c r="CE66" s="797"/>
      <c r="CF66" s="797"/>
      <c r="CG66" s="797"/>
      <c r="CH66" s="797"/>
      <c r="CI66" s="797"/>
      <c r="CJ66" s="797"/>
      <c r="CK66" s="797"/>
      <c r="CL66" s="797"/>
      <c r="CM66" s="797"/>
      <c r="CN66" s="797"/>
      <c r="CO66" s="797"/>
      <c r="CP66" s="797"/>
      <c r="CQ66" s="797"/>
      <c r="CR66" s="797"/>
      <c r="CS66" s="797"/>
      <c r="CT66" s="797"/>
      <c r="CU66" s="797"/>
    </row>
    <row r="67" spans="1:99" x14ac:dyDescent="0.25">
      <c r="A67" s="263">
        <f>SUM((C67-B73)/2+C73/2+A68)</f>
        <v>133131.84813997679</v>
      </c>
      <c r="B67" s="263">
        <f>SUM(C72-C73)</f>
        <v>-0.10270397437852807</v>
      </c>
      <c r="C67" s="263">
        <f>SUM(E65+E67+H65+F79)/4</f>
        <v>133131.80959418445</v>
      </c>
      <c r="D67" s="274">
        <f>SUM(((D66*D64)+I65)/2)</f>
        <v>0.28989511166666665</v>
      </c>
      <c r="E67" s="274">
        <f>SUM(F71+F73)/2</f>
        <v>133437.11854672624</v>
      </c>
      <c r="F67" s="274">
        <f>SUM(((F66*F64)+I65)/2)</f>
        <v>0.46812488428929655</v>
      </c>
      <c r="G67" s="275">
        <f>(F101)</f>
        <v>131634.73405736094</v>
      </c>
      <c r="H67" s="276">
        <f>SUM(((H66*H64)+I65)/2)</f>
        <v>0.16564823624503483</v>
      </c>
      <c r="I67" s="256">
        <f>(A72*100)^0.5</f>
        <v>3668.0567321588533</v>
      </c>
      <c r="J67" s="256">
        <f>INT(I67)-J77</f>
        <v>3667</v>
      </c>
      <c r="K67" s="256">
        <f>(J67-45/360)^2/100</f>
        <v>134459.72265625</v>
      </c>
      <c r="L67" s="257"/>
      <c r="M67" s="257"/>
      <c r="N67" s="257"/>
      <c r="O67" s="257"/>
      <c r="P67" s="257"/>
      <c r="Q67" s="257"/>
      <c r="R67" s="257"/>
      <c r="S67" s="151"/>
      <c r="T67" s="277"/>
      <c r="U67" s="154"/>
      <c r="V67" s="154"/>
      <c r="W67" s="154"/>
      <c r="X67" s="163"/>
      <c r="Y67" s="174"/>
      <c r="Z67" s="161"/>
      <c r="AA67" s="152"/>
      <c r="AB67" s="161"/>
      <c r="AC67" s="161"/>
      <c r="AD67" s="161"/>
      <c r="AE67" s="161"/>
      <c r="AF67" s="161"/>
      <c r="AG67" s="161"/>
      <c r="AH67" s="161"/>
      <c r="AI67" s="152"/>
      <c r="AJ67" s="162"/>
      <c r="AK67" s="150"/>
      <c r="AL67" s="151"/>
      <c r="AM67" s="263">
        <f>SUM((AO67-AN73)/2+AO73/2+AM68)</f>
        <v>165625.14773682944</v>
      </c>
      <c r="AN67" s="263">
        <f>SUM(AO72-AO73)</f>
        <v>-1.3829908275511116E-3</v>
      </c>
      <c r="AO67" s="263">
        <f>SUM(AQ65+AQ67+AT65+AR79)/4</f>
        <v>165625.14719076472</v>
      </c>
      <c r="AP67" s="274">
        <f>SUM(((AP66*AP64)+AU65)/2)</f>
        <v>0.1319222000021828</v>
      </c>
      <c r="AQ67" s="274">
        <f>SUM(AR71+AR73)/2</f>
        <v>165747.23091127654</v>
      </c>
      <c r="AR67" s="274">
        <f>SUM(((AR66*AR64)+AU65)/2)</f>
        <v>0.35343513413669242</v>
      </c>
      <c r="AS67" s="275">
        <f>(AR101)</f>
        <v>164142.9792295706</v>
      </c>
      <c r="AT67" s="276">
        <f>SUM(((AT66*AT64)+AU65)/2)</f>
        <v>7.1164627228610888E-2</v>
      </c>
      <c r="AU67" s="256">
        <f>(AM72*100)^0.5</f>
        <v>4078.5150770545811</v>
      </c>
      <c r="AV67" s="256">
        <f>INT(AU67)-AV77</f>
        <v>4077</v>
      </c>
      <c r="AW67" s="256">
        <f>(AV67-45/360)^2/100</f>
        <v>166209.09765625</v>
      </c>
      <c r="AX67" s="257"/>
      <c r="AY67" s="257"/>
      <c r="AZ67" s="257"/>
      <c r="BA67" s="257"/>
      <c r="BB67" s="257"/>
      <c r="BC67" s="257"/>
      <c r="BD67" s="257"/>
      <c r="BE67" s="151"/>
      <c r="BF67" s="277"/>
      <c r="BG67" s="154"/>
      <c r="BH67" s="154"/>
      <c r="BI67" s="154"/>
      <c r="BJ67" s="163"/>
      <c r="BK67" s="174"/>
      <c r="BL67" s="161"/>
      <c r="BM67" s="152"/>
      <c r="BN67" s="161"/>
      <c r="BO67" s="161"/>
      <c r="BP67" s="161"/>
      <c r="BQ67" s="161"/>
      <c r="BR67" s="161"/>
      <c r="BS67" s="161"/>
      <c r="BT67" s="161"/>
      <c r="BU67" s="152"/>
      <c r="BV67" s="162"/>
      <c r="BW67" s="150"/>
      <c r="BX67" s="151"/>
      <c r="BY67" s="797"/>
      <c r="BZ67" s="797"/>
      <c r="CA67" s="797"/>
      <c r="CB67" s="797"/>
      <c r="CC67" s="797"/>
      <c r="CD67" s="797"/>
      <c r="CE67" s="797"/>
      <c r="CF67" s="797"/>
      <c r="CG67" s="797"/>
      <c r="CH67" s="797"/>
      <c r="CI67" s="797"/>
      <c r="CJ67" s="797"/>
      <c r="CK67" s="797"/>
      <c r="CL67" s="797"/>
      <c r="CM67" s="797"/>
      <c r="CN67" s="797"/>
      <c r="CO67" s="797"/>
      <c r="CP67" s="797"/>
      <c r="CQ67" s="797"/>
      <c r="CR67" s="797"/>
      <c r="CS67" s="797"/>
      <c r="CT67" s="797"/>
      <c r="CU67" s="797"/>
    </row>
    <row r="68" spans="1:99" ht="15.75" thickBot="1" x14ac:dyDescent="0.3">
      <c r="A68" s="263">
        <f>SUM(((A76+B73)/2)*(B71/(C66*C67)))*3.33</f>
        <v>3.1796984915770081E-5</v>
      </c>
      <c r="B68" s="263">
        <f>SUM(C72-B76)</f>
        <v>133131.53862370533</v>
      </c>
      <c r="C68" s="278">
        <f>SUM(((C66-C67)-2)/2+C69)</f>
        <v>-1.0256759935873561</v>
      </c>
      <c r="D68" s="269">
        <f>SUM(D67*D66)/D64</f>
        <v>0.14494755583333332</v>
      </c>
      <c r="E68" s="279">
        <v>-222.76599999999999</v>
      </c>
      <c r="F68" s="269">
        <f>SUM(F67*F66)/F64</f>
        <v>0.41478336200997645</v>
      </c>
      <c r="G68" s="280">
        <f>N72</f>
        <v>133566.11261715702</v>
      </c>
      <c r="H68" s="267">
        <f>SUM(H67*H66)/H64</f>
        <v>0.15628168459882544</v>
      </c>
      <c r="I68" s="256">
        <f>(A71+B70)/2</f>
        <v>133541.20407610599</v>
      </c>
      <c r="J68" s="256"/>
      <c r="K68" s="256"/>
      <c r="L68" s="257"/>
      <c r="M68" s="257"/>
      <c r="N68" s="257"/>
      <c r="O68" s="257"/>
      <c r="P68" s="257"/>
      <c r="Q68" s="257"/>
      <c r="R68" s="257"/>
      <c r="S68" s="151"/>
      <c r="T68" s="277"/>
      <c r="U68" s="154"/>
      <c r="V68" s="163"/>
      <c r="W68" s="154"/>
      <c r="X68" s="154"/>
      <c r="Y68" s="161"/>
      <c r="Z68" s="161"/>
      <c r="AA68" s="161"/>
      <c r="AB68" s="161"/>
      <c r="AC68" s="161"/>
      <c r="AD68" s="161"/>
      <c r="AE68" s="161"/>
      <c r="AF68" s="161"/>
      <c r="AG68" s="154"/>
      <c r="AH68" s="152"/>
      <c r="AI68" s="152"/>
      <c r="AJ68" s="162"/>
      <c r="AK68" s="171"/>
      <c r="AL68" s="151"/>
      <c r="AM68" s="263">
        <f>SUM(((AM76+AN73)/2)*(AN71/(AO66*AO67)))*3.33</f>
        <v>2.7443128401861194E-5</v>
      </c>
      <c r="AN68" s="263">
        <f>SUM(AO72-AN76)</f>
        <v>165624.90842024607</v>
      </c>
      <c r="AO68" s="278">
        <f>SUM(((AO66-AO67)-2)/2+AO69)</f>
        <v>-1.0003457476996118</v>
      </c>
      <c r="AP68" s="269">
        <f>SUM(AP67*AP66)/AP64</f>
        <v>2.6384440001012477E-2</v>
      </c>
      <c r="AQ68" s="279">
        <v>2170.3220000000001</v>
      </c>
      <c r="AR68" s="269">
        <f>SUM(AR67*AR66)/AR64</f>
        <v>0.37520953402211399</v>
      </c>
      <c r="AS68" s="280">
        <f>AZ72</f>
        <v>165634.34760079236</v>
      </c>
      <c r="AT68" s="267">
        <f>SUM(AT67*AT66)/AT64</f>
        <v>0.23828575335062394</v>
      </c>
      <c r="AU68" s="256">
        <f>(AM71+AN70)/2</f>
        <v>165262.05249723321</v>
      </c>
      <c r="AV68" s="256"/>
      <c r="AW68" s="256"/>
      <c r="AX68" s="257"/>
      <c r="AY68" s="257"/>
      <c r="AZ68" s="257"/>
      <c r="BA68" s="257"/>
      <c r="BB68" s="257"/>
      <c r="BC68" s="257"/>
      <c r="BD68" s="257"/>
      <c r="BE68" s="151"/>
      <c r="BF68" s="277"/>
      <c r="BG68" s="154"/>
      <c r="BH68" s="163"/>
      <c r="BI68" s="154"/>
      <c r="BJ68" s="154"/>
      <c r="BK68" s="161"/>
      <c r="BL68" s="161"/>
      <c r="BM68" s="161"/>
      <c r="BN68" s="161"/>
      <c r="BO68" s="161"/>
      <c r="BP68" s="161"/>
      <c r="BQ68" s="161"/>
      <c r="BR68" s="161"/>
      <c r="BS68" s="154"/>
      <c r="BT68" s="152"/>
      <c r="BU68" s="152"/>
      <c r="BV68" s="162"/>
      <c r="BW68" s="171"/>
      <c r="BX68" s="151"/>
      <c r="BY68" s="797"/>
      <c r="BZ68" s="797"/>
      <c r="CA68" s="797"/>
      <c r="CB68" s="797"/>
      <c r="CC68" s="797"/>
      <c r="CD68" s="797"/>
      <c r="CE68" s="797"/>
      <c r="CF68" s="797"/>
      <c r="CG68" s="797"/>
      <c r="CH68" s="797"/>
      <c r="CI68" s="797"/>
      <c r="CJ68" s="797"/>
      <c r="CK68" s="797"/>
      <c r="CL68" s="797"/>
      <c r="CM68" s="797"/>
      <c r="CN68" s="797"/>
      <c r="CO68" s="797"/>
      <c r="CP68" s="797"/>
      <c r="CQ68" s="797"/>
      <c r="CR68" s="797"/>
      <c r="CS68" s="797"/>
      <c r="CT68" s="797"/>
      <c r="CU68" s="797"/>
    </row>
    <row r="69" spans="1:99" ht="15.75" thickBot="1" x14ac:dyDescent="0.3">
      <c r="A69" s="263">
        <f>SUM(A71+A72+A70)/3+A73*-1</f>
        <v>133876.28285015631</v>
      </c>
      <c r="B69" s="263">
        <f>SUM(C73+B76)</f>
        <v>133132.02921269622</v>
      </c>
      <c r="C69" s="263">
        <f>SUM(E77)</f>
        <v>0</v>
      </c>
      <c r="D69" s="269">
        <f>SUM(D66)</f>
        <v>0.5</v>
      </c>
      <c r="E69" s="281">
        <f>K33</f>
        <v>-40216</v>
      </c>
      <c r="F69" s="269">
        <f>SUM(F66)</f>
        <v>0.87113051470078062</v>
      </c>
      <c r="G69" s="282">
        <f>SUM((C63+E63+G63+G70)/4+(D63+F63+H63+H79)/4)/2*G74</f>
        <v>134051.16255462708</v>
      </c>
      <c r="H69" s="267">
        <f>SUM(H66)</f>
        <v>0.48711894914595177</v>
      </c>
      <c r="I69" s="256">
        <f>(A72+B74)/2</f>
        <v>120715.97393577607</v>
      </c>
      <c r="J69" s="256"/>
      <c r="K69" s="283">
        <f>H75</f>
        <v>45</v>
      </c>
      <c r="L69" s="257"/>
      <c r="M69" s="257"/>
      <c r="N69" s="257"/>
      <c r="O69" s="257"/>
      <c r="P69" s="257"/>
      <c r="Q69" s="257"/>
      <c r="R69" s="257"/>
      <c r="S69" s="151"/>
      <c r="T69" s="277"/>
      <c r="U69" s="154"/>
      <c r="V69" s="154"/>
      <c r="W69" s="154"/>
      <c r="X69" s="154"/>
      <c r="Y69" s="161"/>
      <c r="Z69" s="161"/>
      <c r="AA69" s="161"/>
      <c r="AB69" s="161"/>
      <c r="AC69" s="161"/>
      <c r="AD69" s="161"/>
      <c r="AE69" s="161"/>
      <c r="AF69" s="161"/>
      <c r="AG69" s="161"/>
      <c r="AH69" s="152"/>
      <c r="AI69" s="152"/>
      <c r="AJ69" s="174"/>
      <c r="AK69" s="171"/>
      <c r="AL69" s="151"/>
      <c r="AM69" s="263">
        <f>SUM(AM71+AM72+AM70)/3+AM73*-1</f>
        <v>165622.31927807367</v>
      </c>
      <c r="AN69" s="263">
        <f>SUM(AO73+AN76)</f>
        <v>165625.38526978804</v>
      </c>
      <c r="AO69" s="263">
        <f>SUM(AQ77)</f>
        <v>0</v>
      </c>
      <c r="AP69" s="269">
        <f>SUM(AP66)</f>
        <v>0.20000000000436557</v>
      </c>
      <c r="AQ69" s="281">
        <f>AW33</f>
        <v>-49894</v>
      </c>
      <c r="AR69" s="269">
        <f>SUM(AR66)</f>
        <v>0.82622112536773784</v>
      </c>
      <c r="AS69" s="282">
        <f>SUM((AO63+AQ63+AS63+AS70)/4+(AP63+AR63+AT63+AT79)/4)/2*AS74</f>
        <v>165970.70568292157</v>
      </c>
      <c r="AT69" s="267">
        <f>SUM(AT66)</f>
        <v>0.51263691669737455</v>
      </c>
      <c r="AU69" s="256">
        <f>(AM72+AN74)/2</f>
        <v>155160.03399395727</v>
      </c>
      <c r="AV69" s="256"/>
      <c r="AW69" s="283">
        <f>AT75</f>
        <v>45</v>
      </c>
      <c r="AX69" s="257"/>
      <c r="AY69" s="257"/>
      <c r="AZ69" s="257"/>
      <c r="BA69" s="257"/>
      <c r="BB69" s="257"/>
      <c r="BC69" s="257"/>
      <c r="BD69" s="257"/>
      <c r="BE69" s="151"/>
      <c r="BF69" s="277"/>
      <c r="BG69" s="154"/>
      <c r="BH69" s="154"/>
      <c r="BI69" s="154"/>
      <c r="BJ69" s="154"/>
      <c r="BK69" s="161"/>
      <c r="BL69" s="161"/>
      <c r="BM69" s="161"/>
      <c r="BN69" s="161"/>
      <c r="BO69" s="161"/>
      <c r="BP69" s="161"/>
      <c r="BQ69" s="161"/>
      <c r="BR69" s="161"/>
      <c r="BS69" s="161"/>
      <c r="BT69" s="152"/>
      <c r="BU69" s="152"/>
      <c r="BV69" s="174"/>
      <c r="BW69" s="171"/>
      <c r="BX69" s="151"/>
      <c r="BY69" s="797"/>
      <c r="BZ69" s="797"/>
      <c r="CA69" s="797"/>
      <c r="CB69" s="797"/>
      <c r="CC69" s="797"/>
      <c r="CD69" s="797"/>
      <c r="CE69" s="797"/>
      <c r="CF69" s="797"/>
      <c r="CG69" s="797"/>
      <c r="CH69" s="797"/>
      <c r="CI69" s="797"/>
      <c r="CJ69" s="797"/>
      <c r="CK69" s="797"/>
      <c r="CL69" s="797"/>
      <c r="CM69" s="797"/>
      <c r="CN69" s="797"/>
      <c r="CO69" s="797"/>
      <c r="CP69" s="797"/>
      <c r="CQ69" s="797"/>
      <c r="CR69" s="797"/>
      <c r="CS69" s="797"/>
      <c r="CT69" s="797"/>
      <c r="CU69" s="797"/>
    </row>
    <row r="70" spans="1:99" ht="15.75" thickBot="1" x14ac:dyDescent="0.3">
      <c r="A70" s="284">
        <f>SUM((C67-B73)/2+C73/2+A73)</f>
        <v>133131.84811772846</v>
      </c>
      <c r="B70" s="263">
        <f>SUM(C66-B73)</f>
        <v>133131.80959418445</v>
      </c>
      <c r="C70" s="263">
        <f>SUM((D68+F68+H68+M73)*C68)/4</f>
        <v>-0.27383720550493906</v>
      </c>
      <c r="D70" s="269">
        <f>SUM(C63+D67)</f>
        <v>133988.28989511167</v>
      </c>
      <c r="E70" s="285">
        <f>I33</f>
        <v>777</v>
      </c>
      <c r="F70" s="269">
        <f>SUM(E63+F67)</f>
        <v>133654.55593585249</v>
      </c>
      <c r="G70" s="282">
        <f>SUM(H79/G71)*G72</f>
        <v>133885.60767712878</v>
      </c>
      <c r="H70" s="286">
        <f>SUM(G63+H67)</f>
        <v>133163.46674198628</v>
      </c>
      <c r="I70" s="287">
        <f>C63^0.5</f>
        <v>366.04371323654777</v>
      </c>
      <c r="J70" s="283">
        <f>INT(I70)</f>
        <v>366</v>
      </c>
      <c r="K70" s="256">
        <f>(I70+K69/360)^2</f>
        <v>134079.52655330914</v>
      </c>
      <c r="L70" s="257"/>
      <c r="M70" s="257"/>
      <c r="N70" s="257"/>
      <c r="O70" s="257"/>
      <c r="P70" s="257"/>
      <c r="Q70" s="257"/>
      <c r="R70" s="257"/>
      <c r="S70" s="151"/>
      <c r="T70" s="163"/>
      <c r="U70" s="163"/>
      <c r="V70" s="163"/>
      <c r="W70" s="163"/>
      <c r="X70" s="163"/>
      <c r="Y70" s="152"/>
      <c r="Z70" s="152"/>
      <c r="AA70" s="161"/>
      <c r="AB70" s="161"/>
      <c r="AC70" s="161"/>
      <c r="AD70" s="161"/>
      <c r="AE70" s="161"/>
      <c r="AF70" s="161"/>
      <c r="AG70" s="161"/>
      <c r="AH70" s="161"/>
      <c r="AI70" s="152"/>
      <c r="AJ70" s="149"/>
      <c r="AK70" s="171"/>
      <c r="AL70" s="151"/>
      <c r="AM70" s="284">
        <f>SUM((AO67-AN73)/2+AO73/2+AM73)</f>
        <v>165625.14771762749</v>
      </c>
      <c r="AN70" s="263">
        <f>SUM(AO66-AN73)</f>
        <v>165625.14719076472</v>
      </c>
      <c r="AO70" s="263">
        <f>SUM((AP68+AR68+AT68+AY73)*AO68)/4</f>
        <v>-0.19527770032339445</v>
      </c>
      <c r="AP70" s="269">
        <f>SUM(AO63+AP67)</f>
        <v>165973.1319222</v>
      </c>
      <c r="AQ70" s="285">
        <f>AU33</f>
        <v>787</v>
      </c>
      <c r="AR70" s="269">
        <f>SUM(AQ63+AR67)</f>
        <v>165865.48850138226</v>
      </c>
      <c r="AS70" s="282">
        <f>SUM(AT79/AS71)*AS72</f>
        <v>165908.63801216116</v>
      </c>
      <c r="AT70" s="286">
        <f>SUM(AS63+AT67)</f>
        <v>165568.43892504391</v>
      </c>
      <c r="AU70" s="287">
        <f>AO63^0.5</f>
        <v>407.39783995500028</v>
      </c>
      <c r="AV70" s="283">
        <f>INT(AU70)</f>
        <v>407</v>
      </c>
      <c r="AW70" s="256">
        <f>(AU70+AW69/360)^2</f>
        <v>166074.86508498876</v>
      </c>
      <c r="AX70" s="257"/>
      <c r="AY70" s="257"/>
      <c r="AZ70" s="257"/>
      <c r="BA70" s="257"/>
      <c r="BB70" s="257"/>
      <c r="BC70" s="257"/>
      <c r="BD70" s="257"/>
      <c r="BE70" s="151"/>
      <c r="BF70" s="163"/>
      <c r="BG70" s="163"/>
      <c r="BH70" s="163"/>
      <c r="BI70" s="163"/>
      <c r="BJ70" s="163"/>
      <c r="BK70" s="152"/>
      <c r="BL70" s="152"/>
      <c r="BM70" s="161"/>
      <c r="BN70" s="161"/>
      <c r="BO70" s="161"/>
      <c r="BP70" s="161"/>
      <c r="BQ70" s="161"/>
      <c r="BR70" s="161"/>
      <c r="BS70" s="161"/>
      <c r="BT70" s="161"/>
      <c r="BU70" s="152"/>
      <c r="BV70" s="149"/>
      <c r="BW70" s="171"/>
      <c r="BX70" s="151"/>
      <c r="BY70" s="797"/>
      <c r="BZ70" s="797"/>
      <c r="CA70" s="797"/>
      <c r="CB70" s="797"/>
      <c r="CC70" s="797"/>
      <c r="CD70" s="797"/>
      <c r="CE70" s="797"/>
      <c r="CF70" s="797"/>
      <c r="CG70" s="797"/>
      <c r="CH70" s="797"/>
      <c r="CI70" s="797"/>
      <c r="CJ70" s="797"/>
      <c r="CK70" s="797"/>
      <c r="CL70" s="797"/>
      <c r="CM70" s="797"/>
      <c r="CN70" s="797"/>
      <c r="CO70" s="797"/>
      <c r="CP70" s="797"/>
      <c r="CQ70" s="797"/>
      <c r="CR70" s="797"/>
      <c r="CS70" s="797"/>
      <c r="CT70" s="797"/>
      <c r="CU70" s="797"/>
    </row>
    <row r="71" spans="1:99" x14ac:dyDescent="0.25">
      <c r="A71" s="288">
        <f>SUM(((A72-E68)+B69))/2</f>
        <v>133950.59855802753</v>
      </c>
      <c r="B71" s="263">
        <f>SUM(C66+C67)/2^(C70*C77)/2</f>
        <v>114792.17191820452</v>
      </c>
      <c r="C71" s="278">
        <f>SUM(C70*C68)-2/2+C74</f>
        <v>0.78086824783746334</v>
      </c>
      <c r="D71" s="269">
        <f>SUM(D70-D68)</f>
        <v>133988.14494755582</v>
      </c>
      <c r="E71" s="289">
        <f>I34</f>
        <v>1785</v>
      </c>
      <c r="F71" s="269">
        <f>SUM(F70-F68)</f>
        <v>133654.14115249048</v>
      </c>
      <c r="G71" s="282">
        <f>SUM(G73/G74)</f>
        <v>132757.08300461873</v>
      </c>
      <c r="H71" s="286">
        <f>SUM(H70-H68)</f>
        <v>133163.31046030167</v>
      </c>
      <c r="I71" s="283">
        <f>J70</f>
        <v>366</v>
      </c>
      <c r="J71" s="256">
        <f>(I71-K69/360)^2</f>
        <v>133864.515625</v>
      </c>
      <c r="K71" s="256">
        <f>(K70+D63)/2</f>
        <v>133140.76327665459</v>
      </c>
      <c r="L71" s="257"/>
      <c r="M71" s="257"/>
      <c r="N71" s="257"/>
      <c r="O71" s="257"/>
      <c r="P71" s="257"/>
      <c r="Q71" s="257"/>
      <c r="R71" s="257"/>
      <c r="S71" s="151"/>
      <c r="T71" s="163"/>
      <c r="U71" s="163"/>
      <c r="V71" s="154"/>
      <c r="W71" s="154"/>
      <c r="X71" s="154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I71" s="152"/>
      <c r="AJ71" s="149"/>
      <c r="AK71" s="171"/>
      <c r="AL71" s="151"/>
      <c r="AM71" s="288">
        <f>SUM(((AM72-AQ68)+AN69))/2</f>
        <v>164898.95780370169</v>
      </c>
      <c r="AN71" s="263">
        <f>SUM(AO66+AO67)/2^(AO70*AO77)/2</f>
        <v>150747.73427794868</v>
      </c>
      <c r="AO71" s="278">
        <f>SUM(AO70*AO68)-2/2+AO74</f>
        <v>0.69534521713906672</v>
      </c>
      <c r="AP71" s="269">
        <f>SUM(AP70-AP68)</f>
        <v>165973.10553776001</v>
      </c>
      <c r="AQ71" s="289">
        <f>AU34</f>
        <v>613</v>
      </c>
      <c r="AR71" s="269">
        <f>SUM(AR70-AR68)</f>
        <v>165865.11329184825</v>
      </c>
      <c r="AS71" s="282">
        <f>SUM(AS73/AS74)</f>
        <v>165483.64163764441</v>
      </c>
      <c r="AT71" s="286">
        <f>SUM(AT70-AT68)</f>
        <v>165568.20063929056</v>
      </c>
      <c r="AU71" s="283">
        <f>AV70</f>
        <v>407</v>
      </c>
      <c r="AV71" s="256">
        <f>(AU71-AW69/360)^2</f>
        <v>165547.265625</v>
      </c>
      <c r="AW71" s="256">
        <f>(AW70+AP63)/2</f>
        <v>165716.93254249438</v>
      </c>
      <c r="AX71" s="257"/>
      <c r="AY71" s="257"/>
      <c r="AZ71" s="257"/>
      <c r="BA71" s="257"/>
      <c r="BB71" s="257"/>
      <c r="BC71" s="257"/>
      <c r="BD71" s="257"/>
      <c r="BE71" s="151"/>
      <c r="BF71" s="163"/>
      <c r="BG71" s="163"/>
      <c r="BH71" s="154"/>
      <c r="BI71" s="154"/>
      <c r="BJ71" s="154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52"/>
      <c r="BV71" s="149"/>
      <c r="BW71" s="171"/>
      <c r="BX71" s="151"/>
      <c r="BY71" s="797"/>
      <c r="BZ71" s="797"/>
      <c r="CA71" s="797"/>
      <c r="CB71" s="797"/>
      <c r="CC71" s="797"/>
      <c r="CD71" s="797"/>
      <c r="CE71" s="797"/>
      <c r="CF71" s="797"/>
      <c r="CG71" s="797"/>
      <c r="CH71" s="797"/>
      <c r="CI71" s="797"/>
      <c r="CJ71" s="797"/>
      <c r="CK71" s="797"/>
      <c r="CL71" s="797"/>
      <c r="CM71" s="797"/>
      <c r="CN71" s="797"/>
      <c r="CO71" s="797"/>
      <c r="CP71" s="797"/>
      <c r="CQ71" s="797"/>
      <c r="CR71" s="797"/>
      <c r="CS71" s="797"/>
      <c r="CT71" s="797"/>
      <c r="CU71" s="797"/>
    </row>
    <row r="72" spans="1:99" ht="15.75" thickBot="1" x14ac:dyDescent="0.3">
      <c r="A72" s="290">
        <f>(B75+B74+B72+B69)/4</f>
        <v>134546.40190335887</v>
      </c>
      <c r="B72" s="263">
        <f>SUM(C66+C67)/2^(C70*C71)/2</f>
        <v>154401.39857157855</v>
      </c>
      <c r="C72" s="263">
        <f>SUM(C66+C67)/2*(C66/C67)</f>
        <v>133131.73256621358</v>
      </c>
      <c r="D72" s="269">
        <f>SUM(D73+D68)</f>
        <v>132202.13994755584</v>
      </c>
      <c r="E72" s="289">
        <f>I35</f>
        <v>433</v>
      </c>
      <c r="F72" s="269">
        <f>SUM(F73+F68)</f>
        <v>133220.51072432403</v>
      </c>
      <c r="G72" s="282">
        <f>SUM(H79+G75+G73)/3</f>
        <v>133508.72551502983</v>
      </c>
      <c r="H72" s="286">
        <f>SUM(H73+H68)</f>
        <v>133126.9361904175</v>
      </c>
      <c r="I72" s="256">
        <f>(D63^0.5)</f>
        <v>363.59592957017549</v>
      </c>
      <c r="J72" s="256">
        <f>INT(I72)</f>
        <v>363</v>
      </c>
      <c r="K72" s="256">
        <f>(J72+K69/360)^2</f>
        <v>131859.765625</v>
      </c>
      <c r="L72" s="291">
        <f>SUM((((L73*0.6)-2)/-2))-E69</f>
        <v>0.80000000000291038</v>
      </c>
      <c r="M72" s="292">
        <f>SUM(((L74*L72)+I65)/2)</f>
        <v>0.43989511166812184</v>
      </c>
      <c r="N72" s="293">
        <f>(B66+B92)/2</f>
        <v>133566.11261715702</v>
      </c>
      <c r="O72" s="257"/>
      <c r="P72" s="257"/>
      <c r="Q72" s="257"/>
      <c r="R72" s="257"/>
      <c r="S72" s="151"/>
      <c r="T72" s="163"/>
      <c r="U72" s="154"/>
      <c r="V72" s="154"/>
      <c r="W72" s="154"/>
      <c r="X72" s="154"/>
      <c r="Y72" s="161"/>
      <c r="Z72" s="161"/>
      <c r="AA72" s="191"/>
      <c r="AB72" s="161"/>
      <c r="AC72" s="161"/>
      <c r="AD72" s="161"/>
      <c r="AE72" s="161"/>
      <c r="AF72" s="161"/>
      <c r="AG72" s="161"/>
      <c r="AH72" s="152"/>
      <c r="AI72" s="161"/>
      <c r="AJ72" s="162"/>
      <c r="AK72" s="171"/>
      <c r="AL72" s="151"/>
      <c r="AM72" s="290">
        <f>(AN75+AN74+AN72+AN69)/4</f>
        <v>166342.85233761533</v>
      </c>
      <c r="AN72" s="263">
        <f>SUM(AO66+AO67)/2^(AO70*AO71)/2</f>
        <v>181970.8229700813</v>
      </c>
      <c r="AO72" s="263">
        <f>SUM(AO66+AO67)/2*(AO66/AO67)</f>
        <v>165625.14615352164</v>
      </c>
      <c r="AP72" s="269">
        <f>SUM(AP73+AP68)</f>
        <v>165359.02438443998</v>
      </c>
      <c r="AQ72" s="289">
        <f>AU35</f>
        <v>235</v>
      </c>
      <c r="AR72" s="269">
        <f>SUM(AR73+AR68)</f>
        <v>165629.72374023881</v>
      </c>
      <c r="AS72" s="282">
        <f>SUM(AT79+AS75+AS73)/3</f>
        <v>165766.89181885839</v>
      </c>
      <c r="AT72" s="286">
        <f>SUM(AT73+AT68)</f>
        <v>165568.44781952287</v>
      </c>
      <c r="AU72" s="256">
        <f>(AP63^0.5)</f>
        <v>406.64357857957134</v>
      </c>
      <c r="AV72" s="256">
        <f>INT(AU72)</f>
        <v>406</v>
      </c>
      <c r="AW72" s="256">
        <f>(AV72+AW69/360)^2</f>
        <v>164937.515625</v>
      </c>
      <c r="AX72" s="291">
        <f>SUM((((AX73*0.6)-2)/-2))-AQ69</f>
        <v>0.5</v>
      </c>
      <c r="AY72" s="292">
        <f>SUM(((AX74*AX72)+AU65)/2)</f>
        <v>0.28192220000000001</v>
      </c>
      <c r="AZ72" s="293">
        <f>(AN66+AN92)/2</f>
        <v>165634.34760079236</v>
      </c>
      <c r="BA72" s="257"/>
      <c r="BB72" s="257"/>
      <c r="BC72" s="257"/>
      <c r="BD72" s="257"/>
      <c r="BE72" s="151"/>
      <c r="BF72" s="163"/>
      <c r="BG72" s="154"/>
      <c r="BH72" s="154"/>
      <c r="BI72" s="154"/>
      <c r="BJ72" s="154"/>
      <c r="BK72" s="161"/>
      <c r="BL72" s="161"/>
      <c r="BM72" s="191"/>
      <c r="BN72" s="161"/>
      <c r="BO72" s="161"/>
      <c r="BP72" s="161"/>
      <c r="BQ72" s="161"/>
      <c r="BR72" s="161"/>
      <c r="BS72" s="161"/>
      <c r="BT72" s="152"/>
      <c r="BU72" s="161"/>
      <c r="BV72" s="162"/>
      <c r="BW72" s="171"/>
      <c r="BX72" s="151"/>
      <c r="BY72" s="797"/>
      <c r="BZ72" s="797"/>
      <c r="CA72" s="797"/>
      <c r="CB72" s="797"/>
      <c r="CC72" s="797"/>
      <c r="CD72" s="797"/>
      <c r="CE72" s="797"/>
      <c r="CF72" s="797"/>
      <c r="CG72" s="797"/>
      <c r="CH72" s="797"/>
      <c r="CI72" s="797"/>
      <c r="CJ72" s="797"/>
      <c r="CK72" s="797"/>
      <c r="CL72" s="797"/>
      <c r="CM72" s="797"/>
      <c r="CN72" s="797"/>
      <c r="CO72" s="797"/>
      <c r="CP72" s="797"/>
      <c r="CQ72" s="797"/>
      <c r="CR72" s="797"/>
      <c r="CS72" s="797"/>
      <c r="CT72" s="797"/>
      <c r="CU72" s="797"/>
    </row>
    <row r="73" spans="1:99" ht="15.75" thickBot="1" x14ac:dyDescent="0.3">
      <c r="A73" s="294">
        <f>SUM(((A76+B73)/2)*(B71/(C66*C67)))</f>
        <v>9.5486441188498736E-6</v>
      </c>
      <c r="B73" s="263">
        <f>SUM(C66-C67)</f>
        <v>-5.1351987174712121E-2</v>
      </c>
      <c r="C73" s="263">
        <f>SUM(C67+C66)/2*(C67/C66)</f>
        <v>133131.83527018796</v>
      </c>
      <c r="D73" s="269">
        <f>SUM(D63-(D69/100))</f>
        <v>132201.995</v>
      </c>
      <c r="E73" s="289">
        <f>I36</f>
        <v>36</v>
      </c>
      <c r="F73" s="269">
        <f>SUM(F63-(F69/100))</f>
        <v>133220.09594096203</v>
      </c>
      <c r="G73" s="282">
        <f>SUM(H79+G75)/2</f>
        <v>133508.72551502983</v>
      </c>
      <c r="H73" s="286">
        <f>SUM(H63-H69/100)</f>
        <v>133126.77990873289</v>
      </c>
      <c r="I73" s="295">
        <f>J72</f>
        <v>363</v>
      </c>
      <c r="J73" s="256">
        <f>(I73+K69/360)^2</f>
        <v>131859.765625</v>
      </c>
      <c r="K73" s="256">
        <f>(K71+K72+C63)/3</f>
        <v>132996.17630055154</v>
      </c>
      <c r="L73" s="292">
        <f>((J74+K74)/2)</f>
        <v>134054</v>
      </c>
      <c r="M73" s="292">
        <f>(M72*L72)/L74</f>
        <v>0.35191608933577773</v>
      </c>
      <c r="N73" s="257"/>
      <c r="O73" s="257"/>
      <c r="P73" s="257"/>
      <c r="Q73" s="257"/>
      <c r="R73" s="257"/>
      <c r="S73" s="151"/>
      <c r="T73" s="163"/>
      <c r="U73" s="154"/>
      <c r="V73" s="154"/>
      <c r="W73" s="163"/>
      <c r="X73" s="163"/>
      <c r="Y73" s="191"/>
      <c r="Z73" s="191"/>
      <c r="AA73" s="191"/>
      <c r="AB73" s="191"/>
      <c r="AC73" s="191"/>
      <c r="AD73" s="191"/>
      <c r="AE73" s="191"/>
      <c r="AF73" s="191"/>
      <c r="AG73" s="191"/>
      <c r="AH73" s="152"/>
      <c r="AI73" s="152"/>
      <c r="AJ73" s="149"/>
      <c r="AK73" s="171"/>
      <c r="AL73" s="151"/>
      <c r="AM73" s="294">
        <f>SUM(((AM76+AN73)/2)*(AN71/(AO66*AO67)))</f>
        <v>8.2411797002586165E-6</v>
      </c>
      <c r="AN73" s="263">
        <f>SUM(AO66-AO67)</f>
        <v>-6.9149539922364056E-4</v>
      </c>
      <c r="AO73" s="263">
        <f>SUM(AO67+AO66)/2*(AO67/AO66)</f>
        <v>165625.14753651246</v>
      </c>
      <c r="AP73" s="269">
        <f>SUM(AP63-(AP69/100))</f>
        <v>165358.99799999999</v>
      </c>
      <c r="AQ73" s="289">
        <f>AU36</f>
        <v>0</v>
      </c>
      <c r="AR73" s="269">
        <f>SUM(AR63-(AR69/100))</f>
        <v>165629.3485307048</v>
      </c>
      <c r="AS73" s="282">
        <f>SUM(AT79+AS75)/2</f>
        <v>165766.89181885839</v>
      </c>
      <c r="AT73" s="286">
        <f>SUM(AT63-AT69/100)</f>
        <v>165568.20953376952</v>
      </c>
      <c r="AU73" s="295">
        <f>AV72</f>
        <v>406</v>
      </c>
      <c r="AV73" s="256">
        <f>(AU73+AW69/360)^2</f>
        <v>164937.515625</v>
      </c>
      <c r="AW73" s="256">
        <f>(AW71+AW72+AO63)/3</f>
        <v>165542.48272249813</v>
      </c>
      <c r="AX73" s="292">
        <f>((AV74+AW74)/2)</f>
        <v>166315</v>
      </c>
      <c r="AY73" s="292">
        <f>(AY72*AX72)/AX74</f>
        <v>0.14096110000000001</v>
      </c>
      <c r="AZ73" s="257"/>
      <c r="BA73" s="257"/>
      <c r="BB73" s="257"/>
      <c r="BC73" s="257"/>
      <c r="BD73" s="257"/>
      <c r="BE73" s="151"/>
      <c r="BF73" s="163"/>
      <c r="BG73" s="154"/>
      <c r="BH73" s="154"/>
      <c r="BI73" s="163"/>
      <c r="BJ73" s="163"/>
      <c r="BK73" s="191"/>
      <c r="BL73" s="191"/>
      <c r="BM73" s="191"/>
      <c r="BN73" s="191"/>
      <c r="BO73" s="191"/>
      <c r="BP73" s="191"/>
      <c r="BQ73" s="191"/>
      <c r="BR73" s="191"/>
      <c r="BS73" s="191"/>
      <c r="BT73" s="152"/>
      <c r="BU73" s="152"/>
      <c r="BV73" s="149"/>
      <c r="BW73" s="171"/>
      <c r="BX73" s="151"/>
      <c r="BY73" s="797"/>
      <c r="BZ73" s="797"/>
      <c r="CA73" s="797"/>
      <c r="CB73" s="797"/>
      <c r="CC73" s="797"/>
      <c r="CD73" s="797"/>
      <c r="CE73" s="797"/>
      <c r="CF73" s="797"/>
      <c r="CG73" s="797"/>
      <c r="CH73" s="797"/>
      <c r="CI73" s="797"/>
      <c r="CJ73" s="797"/>
      <c r="CK73" s="797"/>
      <c r="CL73" s="797"/>
      <c r="CM73" s="797"/>
      <c r="CN73" s="797"/>
      <c r="CO73" s="797"/>
      <c r="CP73" s="797"/>
      <c r="CQ73" s="797"/>
      <c r="CR73" s="797"/>
      <c r="CS73" s="797"/>
      <c r="CT73" s="797"/>
      <c r="CU73" s="797"/>
    </row>
    <row r="74" spans="1:99" ht="15.75" thickBot="1" x14ac:dyDescent="0.3">
      <c r="A74" s="296">
        <f>SUM((A72-C63)*0.6-E64/B64)*F74</f>
        <v>-335.04112711530604</v>
      </c>
      <c r="B74" s="263">
        <f>SUM(B71+B70)/2*(B71/B70)</f>
        <v>106885.54596819328</v>
      </c>
      <c r="C74" s="263">
        <v>1.5</v>
      </c>
      <c r="D74" s="263">
        <v>0</v>
      </c>
      <c r="E74" s="297">
        <f>K34</f>
        <v>-39928</v>
      </c>
      <c r="F74" s="298">
        <f>C37</f>
        <v>-1</v>
      </c>
      <c r="G74" s="299">
        <f>SUM((C63+E63+G63)/3)/((D63+F63+H63)/3)</f>
        <v>1.0056617883837125</v>
      </c>
      <c r="H74" s="300"/>
      <c r="I74" s="301">
        <f>(J73+K73+K72)/3</f>
        <v>132238.56918351716</v>
      </c>
      <c r="J74" s="302">
        <f>A36</f>
        <v>134443</v>
      </c>
      <c r="K74" s="303">
        <f>B36</f>
        <v>133665</v>
      </c>
      <c r="L74" s="304">
        <f>(J74-K74)-E70</f>
        <v>1</v>
      </c>
      <c r="M74" s="257"/>
      <c r="N74" s="257"/>
      <c r="O74" s="257"/>
      <c r="P74" s="257"/>
      <c r="Q74" s="257"/>
      <c r="R74" s="257"/>
      <c r="S74" s="151"/>
      <c r="T74" s="163"/>
      <c r="U74" s="154"/>
      <c r="V74" s="154"/>
      <c r="W74" s="163"/>
      <c r="X74" s="163"/>
      <c r="Y74" s="191"/>
      <c r="Z74" s="149"/>
      <c r="AA74" s="191"/>
      <c r="AB74" s="191"/>
      <c r="AC74" s="191"/>
      <c r="AD74" s="191"/>
      <c r="AE74" s="191"/>
      <c r="AF74" s="191"/>
      <c r="AG74" s="191"/>
      <c r="AH74" s="152"/>
      <c r="AI74" s="152"/>
      <c r="AJ74" s="162"/>
      <c r="AK74" s="171"/>
      <c r="AL74" s="151"/>
      <c r="AM74" s="296">
        <f>SUM((AM72-AO63)*0.6-AQ64/AN64)*AR74</f>
        <v>-221.91139049116279</v>
      </c>
      <c r="AN74" s="263">
        <f>SUM(AN71+AN70)/2*(AN71/AN70)</f>
        <v>143977.21565029921</v>
      </c>
      <c r="AO74" s="263">
        <v>1.5</v>
      </c>
      <c r="AP74" s="263">
        <v>0</v>
      </c>
      <c r="AQ74" s="297">
        <f>AW34</f>
        <v>-49699</v>
      </c>
      <c r="AR74" s="298">
        <f>AO37</f>
        <v>-1</v>
      </c>
      <c r="AS74" s="299">
        <f>SUM((AO63+AQ63+AS63)/3)/((AP63+AR63+AT63)/3)</f>
        <v>1.0017116506405763</v>
      </c>
      <c r="AT74" s="300"/>
      <c r="AU74" s="301">
        <f>(AV73+AW73+AW72)/3</f>
        <v>165139.17132416603</v>
      </c>
      <c r="AV74" s="302">
        <f>AM36</f>
        <v>166709</v>
      </c>
      <c r="AW74" s="303">
        <f>AN36</f>
        <v>165921</v>
      </c>
      <c r="AX74" s="304">
        <f>(AV74-AW74)-AQ70</f>
        <v>1</v>
      </c>
      <c r="AY74" s="257"/>
      <c r="AZ74" s="257"/>
      <c r="BA74" s="257"/>
      <c r="BB74" s="257"/>
      <c r="BC74" s="257"/>
      <c r="BD74" s="257"/>
      <c r="BE74" s="151"/>
      <c r="BF74" s="163"/>
      <c r="BG74" s="154"/>
      <c r="BH74" s="154"/>
      <c r="BI74" s="163"/>
      <c r="BJ74" s="163"/>
      <c r="BK74" s="191"/>
      <c r="BL74" s="149"/>
      <c r="BM74" s="191"/>
      <c r="BN74" s="191"/>
      <c r="BO74" s="191"/>
      <c r="BP74" s="191"/>
      <c r="BQ74" s="191"/>
      <c r="BR74" s="191"/>
      <c r="BS74" s="191"/>
      <c r="BT74" s="152"/>
      <c r="BU74" s="152"/>
      <c r="BV74" s="162"/>
      <c r="BW74" s="171"/>
      <c r="BX74" s="151"/>
      <c r="BY74" s="797"/>
      <c r="BZ74" s="797"/>
      <c r="CA74" s="797"/>
      <c r="CB74" s="797"/>
      <c r="CC74" s="797"/>
      <c r="CD74" s="797"/>
      <c r="CE74" s="797"/>
      <c r="CF74" s="797"/>
      <c r="CG74" s="797"/>
      <c r="CH74" s="797"/>
      <c r="CI74" s="797"/>
      <c r="CJ74" s="797"/>
      <c r="CK74" s="797"/>
      <c r="CL74" s="797"/>
      <c r="CM74" s="797"/>
      <c r="CN74" s="797"/>
      <c r="CO74" s="797"/>
      <c r="CP74" s="797"/>
      <c r="CQ74" s="797"/>
      <c r="CR74" s="797"/>
      <c r="CS74" s="797"/>
      <c r="CT74" s="797"/>
      <c r="CU74" s="797"/>
    </row>
    <row r="75" spans="1:99" ht="15.75" thickBot="1" x14ac:dyDescent="0.3">
      <c r="A75" s="263">
        <f>(K66+A71)/2</f>
        <v>133957.87435713876</v>
      </c>
      <c r="B75" s="263">
        <f>SUM(B71+B70)/2*(B70/B71)</f>
        <v>143766.63386096741</v>
      </c>
      <c r="C75" s="263">
        <v>1</v>
      </c>
      <c r="D75" s="263">
        <v>0</v>
      </c>
      <c r="E75" s="297">
        <f>K35</f>
        <v>-40031</v>
      </c>
      <c r="F75" s="305">
        <f>(A71*2+A63+B66)/4</f>
        <v>134016.39542917412</v>
      </c>
      <c r="G75" s="306">
        <f>SUM(H79*G74)</f>
        <v>133885.60767712875</v>
      </c>
      <c r="H75" s="307">
        <v>45</v>
      </c>
      <c r="I75" s="308">
        <f>A34</f>
        <v>134149</v>
      </c>
      <c r="J75" s="308">
        <f>B34</f>
        <v>133357</v>
      </c>
      <c r="K75" s="309" t="s">
        <v>49</v>
      </c>
      <c r="L75" s="256">
        <v>0.5</v>
      </c>
      <c r="M75" s="310">
        <f>D63</f>
        <v>132202</v>
      </c>
      <c r="N75" s="310">
        <f>C63</f>
        <v>133988</v>
      </c>
      <c r="O75" s="311">
        <f>B63</f>
        <v>134531.95536217405</v>
      </c>
      <c r="P75" s="311">
        <f>A63</f>
        <v>133953.02382439794</v>
      </c>
      <c r="Q75" s="257"/>
      <c r="R75" s="257"/>
      <c r="S75" s="151"/>
      <c r="T75" s="163"/>
      <c r="U75" s="154"/>
      <c r="V75" s="154"/>
      <c r="W75" s="163"/>
      <c r="X75" s="163"/>
      <c r="Y75" s="149"/>
      <c r="Z75" s="149"/>
      <c r="AA75" s="191"/>
      <c r="AB75" s="149"/>
      <c r="AC75" s="149"/>
      <c r="AD75" s="149"/>
      <c r="AE75" s="149"/>
      <c r="AF75" s="149"/>
      <c r="AG75" s="191"/>
      <c r="AH75" s="152"/>
      <c r="AI75" s="152"/>
      <c r="AJ75" s="162"/>
      <c r="AK75" s="171"/>
      <c r="AL75" s="151"/>
      <c r="AM75" s="263">
        <f>(AW66+AM71)/2</f>
        <v>164913.16022997585</v>
      </c>
      <c r="AN75" s="263">
        <f>SUM(AN71+AN70)/2*(AN70/AN71)</f>
        <v>173797.98546029281</v>
      </c>
      <c r="AO75" s="263">
        <v>1</v>
      </c>
      <c r="AP75" s="263">
        <v>0</v>
      </c>
      <c r="AQ75" s="297">
        <f>AW35</f>
        <v>-49724</v>
      </c>
      <c r="AR75" s="305">
        <f>(AM71*2+AM63+AN66)/4</f>
        <v>165205.63712508016</v>
      </c>
      <c r="AS75" s="306">
        <f>SUM(AT79*AS74)</f>
        <v>165908.63801216116</v>
      </c>
      <c r="AT75" s="307">
        <v>45</v>
      </c>
      <c r="AU75" s="308">
        <f>AM34</f>
        <v>165975</v>
      </c>
      <c r="AV75" s="308">
        <f>AN34</f>
        <v>165605</v>
      </c>
      <c r="AW75" s="309" t="s">
        <v>49</v>
      </c>
      <c r="AX75" s="256">
        <v>0.5</v>
      </c>
      <c r="AY75" s="310">
        <f>AP63</f>
        <v>165359</v>
      </c>
      <c r="AZ75" s="310">
        <f>AO63</f>
        <v>165973</v>
      </c>
      <c r="BA75" s="311">
        <f>AN63</f>
        <v>166320.55989072111</v>
      </c>
      <c r="BB75" s="311">
        <f>AM63</f>
        <v>164903.69194579308</v>
      </c>
      <c r="BC75" s="257"/>
      <c r="BD75" s="257"/>
      <c r="BE75" s="151"/>
      <c r="BF75" s="163"/>
      <c r="BG75" s="154"/>
      <c r="BH75" s="154"/>
      <c r="BI75" s="163"/>
      <c r="BJ75" s="163"/>
      <c r="BK75" s="149"/>
      <c r="BL75" s="149"/>
      <c r="BM75" s="191"/>
      <c r="BN75" s="149"/>
      <c r="BO75" s="149"/>
      <c r="BP75" s="149"/>
      <c r="BQ75" s="149"/>
      <c r="BR75" s="149"/>
      <c r="BS75" s="191"/>
      <c r="BT75" s="152"/>
      <c r="BU75" s="152"/>
      <c r="BV75" s="162"/>
      <c r="BW75" s="171"/>
      <c r="BX75" s="151"/>
      <c r="BY75" s="797"/>
      <c r="BZ75" s="797"/>
      <c r="CA75" s="797"/>
      <c r="CB75" s="797"/>
      <c r="CC75" s="797"/>
      <c r="CD75" s="797"/>
      <c r="CE75" s="797"/>
      <c r="CF75" s="797"/>
      <c r="CG75" s="797"/>
      <c r="CH75" s="797"/>
      <c r="CI75" s="797"/>
      <c r="CJ75" s="797"/>
      <c r="CK75" s="797"/>
      <c r="CL75" s="797"/>
      <c r="CM75" s="797"/>
      <c r="CN75" s="797"/>
      <c r="CO75" s="797"/>
      <c r="CP75" s="797"/>
      <c r="CQ75" s="797"/>
      <c r="CR75" s="797"/>
      <c r="CS75" s="797"/>
      <c r="CT75" s="797"/>
      <c r="CU75" s="797"/>
    </row>
    <row r="76" spans="1:99" x14ac:dyDescent="0.25">
      <c r="A76" s="263">
        <v>3</v>
      </c>
      <c r="B76" s="263">
        <f>SUM(C76+B73)/2</f>
        <v>0.19394250825324469</v>
      </c>
      <c r="C76" s="263">
        <f>SUM(C75+B73)/2*(C73/B75)</f>
        <v>0.4392370036812015</v>
      </c>
      <c r="D76" s="263">
        <v>0</v>
      </c>
      <c r="E76" s="297">
        <f>K36</f>
        <v>-39943</v>
      </c>
      <c r="F76" s="305">
        <f>(A72*2+B66+B63)/4</f>
        <v>134459.02998628383</v>
      </c>
      <c r="G76" s="306">
        <f>SUM(G77*G79)/H76</f>
        <v>45.552779061430819</v>
      </c>
      <c r="H76" s="312">
        <v>45</v>
      </c>
      <c r="I76" s="308">
        <f>A35</f>
        <v>134323</v>
      </c>
      <c r="J76" s="308">
        <f>B35</f>
        <v>133323</v>
      </c>
      <c r="K76" s="313" t="s">
        <v>50</v>
      </c>
      <c r="L76" s="256">
        <v>2</v>
      </c>
      <c r="M76" s="257"/>
      <c r="N76" s="257"/>
      <c r="O76" s="257"/>
      <c r="P76" s="257"/>
      <c r="Q76" s="257"/>
      <c r="R76" s="257"/>
      <c r="S76" s="151"/>
      <c r="T76" s="163"/>
      <c r="U76" s="154"/>
      <c r="V76" s="154"/>
      <c r="W76" s="154"/>
      <c r="X76" s="154"/>
      <c r="Y76" s="191"/>
      <c r="Z76" s="149"/>
      <c r="AA76" s="314"/>
      <c r="AB76" s="149"/>
      <c r="AC76" s="149"/>
      <c r="AD76" s="149"/>
      <c r="AE76" s="149"/>
      <c r="AF76" s="149"/>
      <c r="AG76" s="191"/>
      <c r="AH76" s="152"/>
      <c r="AI76" s="152"/>
      <c r="AJ76" s="163"/>
      <c r="AK76" s="171"/>
      <c r="AL76" s="151"/>
      <c r="AM76" s="263">
        <v>3</v>
      </c>
      <c r="AN76" s="263">
        <f>SUM(AO76+AN73)/2</f>
        <v>0.2377332755851676</v>
      </c>
      <c r="AO76" s="263">
        <f>SUM(AO75+AN73)/2*(AO73/AN75)</f>
        <v>0.47615804656955885</v>
      </c>
      <c r="AP76" s="263">
        <v>0</v>
      </c>
      <c r="AQ76" s="297">
        <f>AW36</f>
        <v>-49670</v>
      </c>
      <c r="AR76" s="305">
        <f>(AM72*2+AN66+AN63)/4</f>
        <v>166281.80137826898</v>
      </c>
      <c r="AS76" s="306">
        <f>SUM(AS77*AS79)/AT76</f>
        <v>39.527904417020295</v>
      </c>
      <c r="AT76" s="312">
        <v>45</v>
      </c>
      <c r="AU76" s="308">
        <f>AM35</f>
        <v>166027</v>
      </c>
      <c r="AV76" s="308">
        <f>AN35</f>
        <v>165662</v>
      </c>
      <c r="AW76" s="313" t="s">
        <v>50</v>
      </c>
      <c r="AX76" s="256">
        <v>2</v>
      </c>
      <c r="AY76" s="257"/>
      <c r="AZ76" s="257"/>
      <c r="BA76" s="257"/>
      <c r="BB76" s="257"/>
      <c r="BC76" s="257"/>
      <c r="BD76" s="257"/>
      <c r="BE76" s="151"/>
      <c r="BF76" s="163"/>
      <c r="BG76" s="154"/>
      <c r="BH76" s="154"/>
      <c r="BI76" s="154"/>
      <c r="BJ76" s="154"/>
      <c r="BK76" s="191"/>
      <c r="BL76" s="149"/>
      <c r="BM76" s="314"/>
      <c r="BN76" s="149"/>
      <c r="BO76" s="149"/>
      <c r="BP76" s="149"/>
      <c r="BQ76" s="149"/>
      <c r="BR76" s="149"/>
      <c r="BS76" s="191"/>
      <c r="BT76" s="152"/>
      <c r="BU76" s="152"/>
      <c r="BV76" s="163"/>
      <c r="BW76" s="171"/>
      <c r="BX76" s="151"/>
      <c r="BY76" s="797"/>
      <c r="BZ76" s="797"/>
      <c r="CA76" s="797"/>
      <c r="CB76" s="797"/>
      <c r="CC76" s="797"/>
      <c r="CD76" s="797"/>
      <c r="CE76" s="797"/>
      <c r="CF76" s="797"/>
      <c r="CG76" s="797"/>
      <c r="CH76" s="797"/>
      <c r="CI76" s="797"/>
      <c r="CJ76" s="797"/>
      <c r="CK76" s="797"/>
      <c r="CL76" s="797"/>
      <c r="CM76" s="797"/>
      <c r="CN76" s="797"/>
      <c r="CO76" s="797"/>
      <c r="CP76" s="797"/>
      <c r="CQ76" s="797"/>
      <c r="CR76" s="797"/>
      <c r="CS76" s="797"/>
      <c r="CT76" s="797"/>
      <c r="CU76" s="797"/>
    </row>
    <row r="77" spans="1:99" x14ac:dyDescent="0.25">
      <c r="A77" s="263">
        <f>SUM((C67-B73)+C73)/2</f>
        <v>133131.84810817981</v>
      </c>
      <c r="B77" s="263"/>
      <c r="C77" s="315">
        <f>SUM(C71*-1)</f>
        <v>-0.78086824783746334</v>
      </c>
      <c r="D77" s="316">
        <f>SUM(C70*-1+C68)/-2</f>
        <v>0.3759193940412085</v>
      </c>
      <c r="E77" s="316">
        <v>0</v>
      </c>
      <c r="F77" s="316">
        <f>SUM(D66+F66)/(F66+H66)*((D66+F66+H66)/3)</f>
        <v>0.6252907661971121</v>
      </c>
      <c r="G77" s="317">
        <f>SUM(D64+F64)/(F64+H64)*(D64+F64+H64)/3*F77/H76</f>
        <v>1.5311423572099813E-2</v>
      </c>
      <c r="H77" s="318" t="e">
        <f>SUM(F121H18/H79)*H78</f>
        <v>#NAME?</v>
      </c>
      <c r="I77" s="319">
        <f>(J76+I74+Q83)/3</f>
        <v>133126.78477992237</v>
      </c>
      <c r="J77" s="319">
        <v>1</v>
      </c>
      <c r="K77" s="319">
        <f>(B66+B63+A63+B63)/4</f>
        <v>134307.0738312474</v>
      </c>
      <c r="L77" s="320"/>
      <c r="M77" s="257"/>
      <c r="N77" s="257"/>
      <c r="O77" s="257"/>
      <c r="P77" s="257"/>
      <c r="Q77" s="257"/>
      <c r="R77" s="257"/>
      <c r="S77" s="151"/>
      <c r="T77" s="163"/>
      <c r="U77" s="163"/>
      <c r="V77" s="163"/>
      <c r="W77" s="154"/>
      <c r="X77" s="163"/>
      <c r="Y77" s="191"/>
      <c r="Z77" s="191"/>
      <c r="AA77" s="149"/>
      <c r="AB77" s="149"/>
      <c r="AC77" s="149"/>
      <c r="AD77" s="149"/>
      <c r="AE77" s="149"/>
      <c r="AF77" s="149"/>
      <c r="AG77" s="191"/>
      <c r="AH77" s="152"/>
      <c r="AI77" s="152"/>
      <c r="AJ77" s="248"/>
      <c r="AK77" s="171"/>
      <c r="AL77" s="151"/>
      <c r="AM77" s="263">
        <f>SUM((AO67-AN73)+AO73)/2</f>
        <v>165625.14770938631</v>
      </c>
      <c r="AN77" s="263"/>
      <c r="AO77" s="315">
        <f>SUM(AO71*-1)</f>
        <v>-0.69534521713906672</v>
      </c>
      <c r="AP77" s="316">
        <f>SUM(AO70*-1+AO68)/-2</f>
        <v>0.4025340236881087</v>
      </c>
      <c r="AQ77" s="316">
        <v>0</v>
      </c>
      <c r="AR77" s="316">
        <f>SUM(AP66+AR66)/(AR66+AT66)*((AP66+AR66+AT66)/3)</f>
        <v>0.39317303306346352</v>
      </c>
      <c r="AS77" s="317">
        <f>SUM(AP64+AR64)/(AR64+AT64)*(AP64+AR64+AT64)/3*AR77/AT76</f>
        <v>1.07396674708888E-2</v>
      </c>
      <c r="AT77" s="318" t="e">
        <f>SUM(F121H18/AT79)*AT78</f>
        <v>#NAME?</v>
      </c>
      <c r="AU77" s="319">
        <f>(AV76+AU74+BC83)/3</f>
        <v>165568.21466013868</v>
      </c>
      <c r="AV77" s="319">
        <v>1</v>
      </c>
      <c r="AW77" s="319">
        <f>(AN66+AN63+AM63+AN63)/4</f>
        <v>165916.43816858987</v>
      </c>
      <c r="AX77" s="320"/>
      <c r="AY77" s="257"/>
      <c r="AZ77" s="257"/>
      <c r="BA77" s="257"/>
      <c r="BB77" s="257"/>
      <c r="BC77" s="257"/>
      <c r="BD77" s="257"/>
      <c r="BE77" s="151"/>
      <c r="BF77" s="163"/>
      <c r="BG77" s="163"/>
      <c r="BH77" s="163"/>
      <c r="BI77" s="154"/>
      <c r="BJ77" s="163"/>
      <c r="BK77" s="191"/>
      <c r="BL77" s="191"/>
      <c r="BM77" s="149"/>
      <c r="BN77" s="149"/>
      <c r="BO77" s="149"/>
      <c r="BP77" s="149"/>
      <c r="BQ77" s="149"/>
      <c r="BR77" s="149"/>
      <c r="BS77" s="191"/>
      <c r="BT77" s="152"/>
      <c r="BU77" s="152"/>
      <c r="BV77" s="248"/>
      <c r="BW77" s="171"/>
      <c r="BX77" s="151"/>
      <c r="BY77" s="797"/>
      <c r="BZ77" s="797"/>
      <c r="CA77" s="797"/>
      <c r="CB77" s="797"/>
      <c r="CC77" s="797"/>
      <c r="CD77" s="797"/>
      <c r="CE77" s="797"/>
      <c r="CF77" s="797"/>
      <c r="CG77" s="797"/>
      <c r="CH77" s="797"/>
      <c r="CI77" s="797"/>
      <c r="CJ77" s="797"/>
      <c r="CK77" s="797"/>
      <c r="CL77" s="797"/>
      <c r="CM77" s="797"/>
      <c r="CN77" s="797"/>
      <c r="CO77" s="797"/>
      <c r="CP77" s="797"/>
      <c r="CQ77" s="797"/>
      <c r="CR77" s="797"/>
      <c r="CS77" s="797"/>
      <c r="CT77" s="797"/>
      <c r="CU77" s="797"/>
    </row>
    <row r="78" spans="1:99" x14ac:dyDescent="0.25">
      <c r="A78" s="263">
        <f>SUM(D63-D68)</f>
        <v>132201.85505244415</v>
      </c>
      <c r="B78" s="263">
        <f>SUM(F63-F68)</f>
        <v>133219.68986890517</v>
      </c>
      <c r="C78" s="315">
        <f>SUM(H63-H68)</f>
        <v>133126.62849823775</v>
      </c>
      <c r="D78" s="269">
        <f>SUM(A80-B80)</f>
        <v>0.30788941073114984</v>
      </c>
      <c r="E78" s="269">
        <v>1.8</v>
      </c>
      <c r="F78" s="315">
        <f>SUM(E78/D64)*(D64+E78)/2</f>
        <v>2.52</v>
      </c>
      <c r="G78" s="321">
        <f>SUM(H79/H80)*H78</f>
        <v>133131.83856588555</v>
      </c>
      <c r="H78" s="321">
        <f>SUM(H79+(F77*G77))</f>
        <v>133131.8529270227</v>
      </c>
      <c r="I78" s="319">
        <f>(I76+J73+Q84)/3</f>
        <v>133163.30109375002</v>
      </c>
      <c r="J78" s="319">
        <f>(B66+B63+A63)/3</f>
        <v>134232.11332093852</v>
      </c>
      <c r="K78" s="319">
        <f>(A63+B63+B66*2)/4</f>
        <v>134226.92518476478</v>
      </c>
      <c r="L78" s="257"/>
      <c r="M78" s="257"/>
      <c r="N78" s="257"/>
      <c r="O78" s="257"/>
      <c r="P78" s="257"/>
      <c r="Q78" s="257"/>
      <c r="R78" s="257"/>
      <c r="S78" s="151"/>
      <c r="T78" s="163"/>
      <c r="U78" s="163"/>
      <c r="V78" s="154"/>
      <c r="W78" s="154"/>
      <c r="X78" s="154"/>
      <c r="Y78" s="149"/>
      <c r="Z78" s="149"/>
      <c r="AA78" s="149"/>
      <c r="AB78" s="149"/>
      <c r="AC78" s="149"/>
      <c r="AD78" s="149"/>
      <c r="AE78" s="149"/>
      <c r="AF78" s="149"/>
      <c r="AG78" s="191"/>
      <c r="AH78" s="152"/>
      <c r="AI78" s="152"/>
      <c r="AJ78" s="322"/>
      <c r="AK78" s="171"/>
      <c r="AL78" s="151"/>
      <c r="AM78" s="263">
        <f>SUM(AP63-AP68)</f>
        <v>165358.97361556001</v>
      </c>
      <c r="AN78" s="263">
        <f>SUM(AR63-AR68)</f>
        <v>165628.98158338203</v>
      </c>
      <c r="AO78" s="315">
        <f>SUM(AT63-AT68)</f>
        <v>165567.97637438533</v>
      </c>
      <c r="AP78" s="269">
        <f>SUM(AM80-AN80)</f>
        <v>0.18550732044968754</v>
      </c>
      <c r="AQ78" s="269">
        <v>1.8</v>
      </c>
      <c r="AR78" s="315">
        <f>SUM(AQ78/AP64)*(AP64+AQ78)/2</f>
        <v>2.52</v>
      </c>
      <c r="AS78" s="321">
        <f>SUM(AT79/AT80)*AT78</f>
        <v>165625.1435142819</v>
      </c>
      <c r="AT78" s="321">
        <f>SUM(AT79+(AR77*AS77))</f>
        <v>165625.14984810326</v>
      </c>
      <c r="AU78" s="319">
        <f>(AU76+AV73+BC84)/3</f>
        <v>165568.36776041667</v>
      </c>
      <c r="AV78" s="319">
        <f>(AN66+AN63+AM63)/3</f>
        <v>165781.73092787946</v>
      </c>
      <c r="AW78" s="319">
        <f>(AM63+AN63+AN66*2)/4</f>
        <v>165866.53343269066</v>
      </c>
      <c r="AX78" s="257"/>
      <c r="AY78" s="257"/>
      <c r="AZ78" s="257"/>
      <c r="BA78" s="257"/>
      <c r="BB78" s="257"/>
      <c r="BC78" s="257"/>
      <c r="BD78" s="257"/>
      <c r="BE78" s="151"/>
      <c r="BF78" s="163"/>
      <c r="BG78" s="163"/>
      <c r="BH78" s="154"/>
      <c r="BI78" s="154"/>
      <c r="BJ78" s="154"/>
      <c r="BK78" s="149"/>
      <c r="BL78" s="149"/>
      <c r="BM78" s="149"/>
      <c r="BN78" s="149"/>
      <c r="BO78" s="149"/>
      <c r="BP78" s="149"/>
      <c r="BQ78" s="149"/>
      <c r="BR78" s="149"/>
      <c r="BS78" s="191"/>
      <c r="BT78" s="152"/>
      <c r="BU78" s="152"/>
      <c r="BV78" s="322"/>
      <c r="BW78" s="171"/>
      <c r="BX78" s="151"/>
      <c r="BY78" s="797"/>
      <c r="BZ78" s="797"/>
      <c r="CA78" s="797"/>
      <c r="CB78" s="797"/>
      <c r="CC78" s="797"/>
      <c r="CD78" s="797"/>
      <c r="CE78" s="797"/>
      <c r="CF78" s="797"/>
      <c r="CG78" s="797"/>
      <c r="CH78" s="797"/>
      <c r="CI78" s="797"/>
      <c r="CJ78" s="797"/>
      <c r="CK78" s="797"/>
      <c r="CL78" s="797"/>
      <c r="CM78" s="797"/>
      <c r="CN78" s="797"/>
      <c r="CO78" s="797"/>
      <c r="CP78" s="797"/>
      <c r="CQ78" s="797"/>
      <c r="CR78" s="797"/>
      <c r="CS78" s="797"/>
      <c r="CT78" s="797"/>
      <c r="CU78" s="797"/>
    </row>
    <row r="79" spans="1:99" ht="15.75" thickBot="1" x14ac:dyDescent="0.3">
      <c r="A79" s="263">
        <f>SUM(A78+D67)</f>
        <v>132202.14494755582</v>
      </c>
      <c r="B79" s="263">
        <f>SUM(B78+F67)</f>
        <v>133220.15799378947</v>
      </c>
      <c r="C79" s="315">
        <f>SUM(C78+H67)</f>
        <v>133126.79414647399</v>
      </c>
      <c r="D79" s="269"/>
      <c r="E79" s="315">
        <f>SUM(A69)</f>
        <v>133876.28285015631</v>
      </c>
      <c r="F79" s="315">
        <f>SUM(A80/B80)*A80</f>
        <v>132850.00691939739</v>
      </c>
      <c r="G79" s="323">
        <f>SUM(E79+F78)</f>
        <v>133878.80285015629</v>
      </c>
      <c r="H79" s="321">
        <f>SUM(((E80-F77*G77)+E80))/2</f>
        <v>133131.84335293091</v>
      </c>
      <c r="I79" s="319">
        <f>(B66+A63+B63+A63)/4</f>
        <v>134162.34094680336</v>
      </c>
      <c r="J79" s="319">
        <f>(J78+I78)/2</f>
        <v>133697.70720734427</v>
      </c>
      <c r="K79" s="319">
        <f>(K78+K77)/2</f>
        <v>134266.99950800609</v>
      </c>
      <c r="L79" s="257"/>
      <c r="M79" s="257"/>
      <c r="N79" s="257"/>
      <c r="O79" s="257"/>
      <c r="P79" s="257"/>
      <c r="Q79" s="257"/>
      <c r="R79" s="257"/>
      <c r="S79" s="151"/>
      <c r="T79" s="191"/>
      <c r="U79" s="149"/>
      <c r="V79" s="162"/>
      <c r="W79" s="149"/>
      <c r="X79" s="191"/>
      <c r="Y79" s="149"/>
      <c r="Z79" s="149"/>
      <c r="AA79" s="149"/>
      <c r="AB79" s="149"/>
      <c r="AC79" s="149"/>
      <c r="AD79" s="149"/>
      <c r="AE79" s="149"/>
      <c r="AF79" s="149"/>
      <c r="AG79" s="149"/>
      <c r="AH79" s="152"/>
      <c r="AI79" s="191"/>
      <c r="AJ79" s="152"/>
      <c r="AK79" s="171"/>
      <c r="AL79" s="151"/>
      <c r="AM79" s="263">
        <f>SUM(AM78+AP67)</f>
        <v>165359.10553776001</v>
      </c>
      <c r="AN79" s="263">
        <f>SUM(AN78+AR67)</f>
        <v>165629.33501851617</v>
      </c>
      <c r="AO79" s="315">
        <f>SUM(AO78+AT67)</f>
        <v>165568.04753901256</v>
      </c>
      <c r="AP79" s="269"/>
      <c r="AQ79" s="315">
        <f>SUM(AM69)</f>
        <v>165622.31927807367</v>
      </c>
      <c r="AR79" s="315">
        <f>SUM(AM80/AN80)*AM80</f>
        <v>165519.01487262463</v>
      </c>
      <c r="AS79" s="323">
        <f>SUM(AQ79+AR78)</f>
        <v>165624.83927807366</v>
      </c>
      <c r="AT79" s="321">
        <f>SUM(((AQ80-AR77*AS77)+AQ80))/2</f>
        <v>165625.14562555563</v>
      </c>
      <c r="AU79" s="319">
        <f>(AN66+AM63+AN63+AM63)/4</f>
        <v>165562.22118235787</v>
      </c>
      <c r="AV79" s="319">
        <f>(AV78+AU78)/2</f>
        <v>165675.04934414808</v>
      </c>
      <c r="AW79" s="319">
        <f>(AW78+AW77)/2</f>
        <v>165891.48580064025</v>
      </c>
      <c r="AX79" s="257"/>
      <c r="AY79" s="257"/>
      <c r="AZ79" s="257"/>
      <c r="BA79" s="257"/>
      <c r="BB79" s="257"/>
      <c r="BC79" s="257"/>
      <c r="BD79" s="257"/>
      <c r="BE79" s="151"/>
      <c r="BF79" s="191"/>
      <c r="BG79" s="149"/>
      <c r="BH79" s="162"/>
      <c r="BI79" s="149"/>
      <c r="BJ79" s="191"/>
      <c r="BK79" s="149"/>
      <c r="BL79" s="149"/>
      <c r="BM79" s="149"/>
      <c r="BN79" s="149"/>
      <c r="BO79" s="149"/>
      <c r="BP79" s="149"/>
      <c r="BQ79" s="149"/>
      <c r="BR79" s="149"/>
      <c r="BS79" s="149"/>
      <c r="BT79" s="152"/>
      <c r="BU79" s="191"/>
      <c r="BV79" s="152"/>
      <c r="BW79" s="171"/>
      <c r="BX79" s="151"/>
      <c r="BY79" s="797"/>
      <c r="BZ79" s="797"/>
      <c r="CA79" s="797"/>
      <c r="CB79" s="797"/>
      <c r="CC79" s="797"/>
      <c r="CD79" s="797"/>
      <c r="CE79" s="797"/>
      <c r="CF79" s="797"/>
      <c r="CG79" s="797"/>
      <c r="CH79" s="797"/>
      <c r="CI79" s="797"/>
      <c r="CJ79" s="797"/>
      <c r="CK79" s="797"/>
      <c r="CL79" s="797"/>
      <c r="CM79" s="797"/>
      <c r="CN79" s="797"/>
      <c r="CO79" s="797"/>
      <c r="CP79" s="797"/>
      <c r="CQ79" s="797"/>
      <c r="CR79" s="797"/>
      <c r="CS79" s="797"/>
      <c r="CT79" s="797"/>
      <c r="CU79" s="797"/>
    </row>
    <row r="80" spans="1:99" ht="15.75" thickBot="1" x14ac:dyDescent="0.3">
      <c r="A80" s="263">
        <f>SUM(A79+B79+C79)/3</f>
        <v>132849.69902927309</v>
      </c>
      <c r="B80" s="263">
        <f>SUM(A78+B78+C78)/3</f>
        <v>132849.39113986236</v>
      </c>
      <c r="C80" s="269"/>
      <c r="D80" s="269">
        <f>SUM(F80+F79)/2</f>
        <v>132849.54508528131</v>
      </c>
      <c r="E80" s="315">
        <f>SUM(A67)</f>
        <v>133131.84813997679</v>
      </c>
      <c r="F80" s="324">
        <f>SUM(B80/A80)*B80</f>
        <v>132849.0832511652</v>
      </c>
      <c r="G80" s="323">
        <f>SUM(E80+F78)</f>
        <v>133134.36813997678</v>
      </c>
      <c r="H80" s="321">
        <f>SUM(E80+(F77*G77))</f>
        <v>133131.85771406858</v>
      </c>
      <c r="I80" s="319">
        <f>(A63+I79)/2</f>
        <v>134057.68238560064</v>
      </c>
      <c r="J80" s="319">
        <f>(B66+B63+B65)/3</f>
        <v>134386.44564422281</v>
      </c>
      <c r="K80" s="325">
        <v>45</v>
      </c>
      <c r="L80" s="326">
        <f>(C63+D63)/2</f>
        <v>133095</v>
      </c>
      <c r="M80" s="257"/>
      <c r="N80" s="257"/>
      <c r="O80" s="257"/>
      <c r="P80" s="257"/>
      <c r="Q80" s="257"/>
      <c r="R80" s="257"/>
      <c r="S80" s="151"/>
      <c r="T80" s="171"/>
      <c r="U80" s="171"/>
      <c r="V80" s="171"/>
      <c r="W80" s="171"/>
      <c r="X80" s="171"/>
      <c r="Y80" s="171"/>
      <c r="Z80" s="171"/>
      <c r="AA80" s="171"/>
      <c r="AB80" s="171"/>
      <c r="AC80" s="171"/>
      <c r="AD80" s="171"/>
      <c r="AE80" s="171"/>
      <c r="AF80" s="171"/>
      <c r="AG80" s="171"/>
      <c r="AH80" s="171"/>
      <c r="AI80" s="171"/>
      <c r="AJ80" s="171"/>
      <c r="AK80" s="171"/>
      <c r="AL80" s="151"/>
      <c r="AM80" s="263">
        <f>SUM(AM79+AN79+AO79)/3</f>
        <v>165518.82936509626</v>
      </c>
      <c r="AN80" s="263">
        <f>SUM(AM78+AN78+AO78)/3</f>
        <v>165518.64385777581</v>
      </c>
      <c r="AO80" s="269"/>
      <c r="AP80" s="269">
        <f>SUM(AR80+AR79)/2</f>
        <v>165518.73661164395</v>
      </c>
      <c r="AQ80" s="315">
        <f>SUM(AM67)</f>
        <v>165625.14773682944</v>
      </c>
      <c r="AR80" s="324">
        <f>SUM(AN80/AM80)*AN80</f>
        <v>165518.45835066328</v>
      </c>
      <c r="AS80" s="323">
        <f>SUM(AQ80+AR78)</f>
        <v>165627.66773682943</v>
      </c>
      <c r="AT80" s="321">
        <f>SUM(AQ80+(AR77*AS77))</f>
        <v>165625.15195937708</v>
      </c>
      <c r="AU80" s="319">
        <f>(AM63+AU79)/2</f>
        <v>165232.95656407549</v>
      </c>
      <c r="AV80" s="319">
        <f>(AN66+AN63+AN65)/3</f>
        <v>166057.78720124977</v>
      </c>
      <c r="AW80" s="325">
        <v>45</v>
      </c>
      <c r="AX80" s="326">
        <f>(AO63+AP63)/2</f>
        <v>165666</v>
      </c>
      <c r="AY80" s="257"/>
      <c r="AZ80" s="257"/>
      <c r="BA80" s="257"/>
      <c r="BB80" s="257"/>
      <c r="BC80" s="257"/>
      <c r="BD80" s="257"/>
      <c r="BE80" s="151"/>
      <c r="BF80" s="171"/>
      <c r="BG80" s="171"/>
      <c r="BH80" s="171"/>
      <c r="BI80" s="171"/>
      <c r="BJ80" s="171"/>
      <c r="BK80" s="171"/>
      <c r="BL80" s="171"/>
      <c r="BM80" s="171"/>
      <c r="BN80" s="171"/>
      <c r="BO80" s="171"/>
      <c r="BP80" s="171"/>
      <c r="BQ80" s="171"/>
      <c r="BR80" s="171"/>
      <c r="BS80" s="171"/>
      <c r="BT80" s="171"/>
      <c r="BU80" s="171"/>
      <c r="BV80" s="171"/>
      <c r="BW80" s="171"/>
      <c r="BX80" s="151"/>
      <c r="BY80" s="797"/>
      <c r="BZ80" s="797"/>
      <c r="CA80" s="797"/>
      <c r="CB80" s="797"/>
      <c r="CC80" s="797"/>
      <c r="CD80" s="797"/>
      <c r="CE80" s="797"/>
      <c r="CF80" s="797"/>
      <c r="CG80" s="797"/>
      <c r="CH80" s="797"/>
      <c r="CI80" s="797"/>
      <c r="CJ80" s="797"/>
      <c r="CK80" s="797"/>
      <c r="CL80" s="797"/>
      <c r="CM80" s="797"/>
      <c r="CN80" s="797"/>
      <c r="CO80" s="797"/>
      <c r="CP80" s="797"/>
      <c r="CQ80" s="797"/>
      <c r="CR80" s="797"/>
      <c r="CS80" s="797"/>
      <c r="CT80" s="797"/>
      <c r="CU80" s="797"/>
    </row>
    <row r="81" spans="1:99" x14ac:dyDescent="0.25">
      <c r="A81" s="327">
        <f>SUM(H63)</f>
        <v>133126.78477992237</v>
      </c>
      <c r="B81" s="327">
        <f>SUM(G63)</f>
        <v>133163.30109375002</v>
      </c>
      <c r="C81" s="328">
        <f>SUM(F63)</f>
        <v>133220.10465226718</v>
      </c>
      <c r="D81" s="328">
        <f>SUM(E63)</f>
        <v>133654.08781096819</v>
      </c>
      <c r="E81" s="328">
        <f>SUM(D63)</f>
        <v>132202</v>
      </c>
      <c r="F81" s="328">
        <f>SUM(C63)</f>
        <v>133988</v>
      </c>
      <c r="G81" s="329">
        <f>SUM(A85)</f>
        <v>133988</v>
      </c>
      <c r="H81" s="329">
        <f>SUM(B85)</f>
        <v>133220.10465226718</v>
      </c>
      <c r="I81" s="330">
        <f>((I75*100)^L75)</f>
        <v>3662.6356630164569</v>
      </c>
      <c r="J81" s="330">
        <f>INT(I81)+1</f>
        <v>3663</v>
      </c>
      <c r="K81" s="292">
        <f>(J81+K80/360)^L76/100</f>
        <v>134184.84765625</v>
      </c>
      <c r="L81" s="330">
        <f>INT(J81)+1</f>
        <v>3664</v>
      </c>
      <c r="M81" s="292">
        <f>(L81+K80/360)^L76/100</f>
        <v>134258.12015624999</v>
      </c>
      <c r="N81" s="292">
        <f>(K81+M81)/2</f>
        <v>134221.48390624998</v>
      </c>
      <c r="O81" s="292">
        <f>((O82+L80)/2*100)^L75</f>
        <v>3655.9926351727649</v>
      </c>
      <c r="P81" s="292">
        <f>INT(O81)+1</f>
        <v>3656</v>
      </c>
      <c r="Q81" s="330">
        <f>(P81+K80/360)^L76/100</f>
        <v>133672.50015625</v>
      </c>
      <c r="R81" s="292">
        <f>INT(Q82)+1</f>
        <v>3651</v>
      </c>
      <c r="S81" s="151"/>
      <c r="T81" s="171"/>
      <c r="U81" s="171"/>
      <c r="V81" s="171"/>
      <c r="W81" s="171"/>
      <c r="X81" s="171"/>
      <c r="Y81" s="171"/>
      <c r="Z81" s="171"/>
      <c r="AA81" s="171"/>
      <c r="AB81" s="151"/>
      <c r="AC81" s="151"/>
      <c r="AD81" s="151"/>
      <c r="AE81" s="151"/>
      <c r="AF81" s="151"/>
      <c r="AG81" s="171"/>
      <c r="AH81" s="171"/>
      <c r="AI81" s="171"/>
      <c r="AJ81" s="171"/>
      <c r="AK81" s="171"/>
      <c r="AL81" s="151"/>
      <c r="AM81" s="327">
        <f>SUM(AT63)</f>
        <v>165568.21466013868</v>
      </c>
      <c r="AN81" s="327">
        <f>SUM(AS63)</f>
        <v>165568.36776041667</v>
      </c>
      <c r="AO81" s="328">
        <f>SUM(AR63)</f>
        <v>165629.35679291605</v>
      </c>
      <c r="AP81" s="328">
        <f>SUM(AQ63)</f>
        <v>165865.13506624813</v>
      </c>
      <c r="AQ81" s="328">
        <f>SUM(AP63)</f>
        <v>165359</v>
      </c>
      <c r="AR81" s="328">
        <f>SUM(AO63)</f>
        <v>165973</v>
      </c>
      <c r="AS81" s="329">
        <f>SUM(AM85)</f>
        <v>165973</v>
      </c>
      <c r="AT81" s="329">
        <f>SUM(AN85)</f>
        <v>165629.35679291605</v>
      </c>
      <c r="AU81" s="330">
        <f>((AU75*100)^AX75)</f>
        <v>4074.0029455070353</v>
      </c>
      <c r="AV81" s="330">
        <f>INT(AU81)+1</f>
        <v>4075</v>
      </c>
      <c r="AW81" s="292">
        <f>(AV81+AW80/360)^AX76/100</f>
        <v>166066.43765625</v>
      </c>
      <c r="AX81" s="330">
        <f>INT(AV81)+1</f>
        <v>4076</v>
      </c>
      <c r="AY81" s="292">
        <f>(AX81+AW80/360)^AX76/100</f>
        <v>166147.95015625001</v>
      </c>
      <c r="AZ81" s="292">
        <f>(AW81+AY81)/2</f>
        <v>166107.19390625</v>
      </c>
      <c r="BA81" s="292">
        <f>((BA82+AX80)/2*100)^AX75</f>
        <v>4072.9803766330006</v>
      </c>
      <c r="BB81" s="292">
        <f>INT(BA81)+1</f>
        <v>4073</v>
      </c>
      <c r="BC81" s="330">
        <f>(BB81+AW80/360)^AX76/100</f>
        <v>165903.47265625</v>
      </c>
      <c r="BD81" s="292">
        <f>INT(BC82)+1</f>
        <v>4071</v>
      </c>
      <c r="BE81" s="151"/>
      <c r="BF81" s="171"/>
      <c r="BG81" s="171"/>
      <c r="BH81" s="171"/>
      <c r="BI81" s="171"/>
      <c r="BJ81" s="171"/>
      <c r="BK81" s="171"/>
      <c r="BL81" s="171"/>
      <c r="BM81" s="171"/>
      <c r="BN81" s="151"/>
      <c r="BO81" s="151"/>
      <c r="BP81" s="151"/>
      <c r="BQ81" s="151"/>
      <c r="BR81" s="151"/>
      <c r="BS81" s="171"/>
      <c r="BT81" s="171"/>
      <c r="BU81" s="171"/>
      <c r="BV81" s="171"/>
      <c r="BW81" s="171"/>
      <c r="BX81" s="151"/>
      <c r="BY81" s="797"/>
      <c r="BZ81" s="797"/>
      <c r="CA81" s="797"/>
      <c r="CB81" s="797"/>
      <c r="CC81" s="797"/>
      <c r="CD81" s="797"/>
      <c r="CE81" s="797"/>
      <c r="CF81" s="797"/>
      <c r="CG81" s="797"/>
      <c r="CH81" s="797"/>
      <c r="CI81" s="797"/>
      <c r="CJ81" s="797"/>
      <c r="CK81" s="797"/>
      <c r="CL81" s="797"/>
      <c r="CM81" s="797"/>
      <c r="CN81" s="797"/>
      <c r="CO81" s="797"/>
      <c r="CP81" s="797"/>
      <c r="CQ81" s="797"/>
      <c r="CR81" s="797"/>
      <c r="CS81" s="797"/>
      <c r="CT81" s="797"/>
      <c r="CU81" s="797"/>
    </row>
    <row r="82" spans="1:99" x14ac:dyDescent="0.25">
      <c r="A82" s="327">
        <f t="shared" ref="A82:F82" si="0">SUM(A81)</f>
        <v>133126.78477992237</v>
      </c>
      <c r="B82" s="327">
        <f t="shared" si="0"/>
        <v>133163.30109375002</v>
      </c>
      <c r="C82" s="328">
        <f t="shared" si="0"/>
        <v>133220.10465226718</v>
      </c>
      <c r="D82" s="328">
        <f t="shared" si="0"/>
        <v>133654.08781096819</v>
      </c>
      <c r="E82" s="328">
        <f t="shared" si="0"/>
        <v>132202</v>
      </c>
      <c r="F82" s="328">
        <f t="shared" si="0"/>
        <v>133988</v>
      </c>
      <c r="G82" s="329">
        <f>SUM(H79)</f>
        <v>133131.84335293091</v>
      </c>
      <c r="H82" s="329">
        <f>SUM(G75)</f>
        <v>133885.60767712875</v>
      </c>
      <c r="I82" s="330">
        <f>(J75*100)^L75</f>
        <v>3651.8077715016711</v>
      </c>
      <c r="J82" s="330">
        <f>INT(I82)+1</f>
        <v>3652</v>
      </c>
      <c r="K82" s="292">
        <f>(J82-K80/360)^L76/100</f>
        <v>133361.91015625</v>
      </c>
      <c r="L82" s="331">
        <f>INT(J82)+1</f>
        <v>3653</v>
      </c>
      <c r="M82" s="292">
        <f>(L82-K80/360)^L76/100</f>
        <v>133434.95765624999</v>
      </c>
      <c r="N82" s="292">
        <f>(N81+M81)/2</f>
        <v>134239.80203124997</v>
      </c>
      <c r="O82" s="292">
        <f>(N81+N82)/2</f>
        <v>134230.64296874998</v>
      </c>
      <c r="P82" s="292">
        <f>(K82+M82)/2</f>
        <v>133398.43390624999</v>
      </c>
      <c r="Q82" s="292">
        <f>((P82+L80)/2*100)^L75</f>
        <v>3650.2974803860166</v>
      </c>
      <c r="R82" s="292">
        <f>(R81+K80/360)^L76/100</f>
        <v>133307.13765625001</v>
      </c>
      <c r="S82" s="151"/>
      <c r="T82" s="171"/>
      <c r="U82" s="171"/>
      <c r="V82" s="171"/>
      <c r="W82" s="171"/>
      <c r="X82" s="171"/>
      <c r="Y82" s="171"/>
      <c r="Z82" s="171"/>
      <c r="AA82" s="171"/>
      <c r="AB82" s="151"/>
      <c r="AC82" s="151"/>
      <c r="AD82" s="151"/>
      <c r="AE82" s="151"/>
      <c r="AF82" s="151"/>
      <c r="AG82" s="171"/>
      <c r="AH82" s="171"/>
      <c r="AI82" s="171"/>
      <c r="AJ82" s="171"/>
      <c r="AK82" s="171"/>
      <c r="AL82" s="151"/>
      <c r="AM82" s="327">
        <f t="shared" ref="AM82:AR82" si="1">SUM(AM81)</f>
        <v>165568.21466013868</v>
      </c>
      <c r="AN82" s="327">
        <f t="shared" si="1"/>
        <v>165568.36776041667</v>
      </c>
      <c r="AO82" s="328">
        <f t="shared" si="1"/>
        <v>165629.35679291605</v>
      </c>
      <c r="AP82" s="328">
        <f t="shared" si="1"/>
        <v>165865.13506624813</v>
      </c>
      <c r="AQ82" s="328">
        <f t="shared" si="1"/>
        <v>165359</v>
      </c>
      <c r="AR82" s="328">
        <f t="shared" si="1"/>
        <v>165973</v>
      </c>
      <c r="AS82" s="329">
        <f>SUM(AT79)</f>
        <v>165625.14562555563</v>
      </c>
      <c r="AT82" s="329">
        <f>SUM(AS75)</f>
        <v>165908.63801216116</v>
      </c>
      <c r="AU82" s="330">
        <f>(AV75*100)^AX75</f>
        <v>4069.459423559842</v>
      </c>
      <c r="AV82" s="330">
        <f>INT(AU82)+1</f>
        <v>4070</v>
      </c>
      <c r="AW82" s="292">
        <f>(AV82-AW80/360)^AX76/100</f>
        <v>165638.82515625001</v>
      </c>
      <c r="AX82" s="331">
        <f>INT(AV82)+1</f>
        <v>4071</v>
      </c>
      <c r="AY82" s="292">
        <f>(AX82-AW80/360)^AX76/100</f>
        <v>165720.23265625001</v>
      </c>
      <c r="AZ82" s="292">
        <f>(AZ81+AY81)/2</f>
        <v>166127.57203124999</v>
      </c>
      <c r="BA82" s="292">
        <f>(AZ81+AZ82)/2</f>
        <v>166117.38296875</v>
      </c>
      <c r="BB82" s="292">
        <f>(AW82+AY82)/2</f>
        <v>165679.52890625002</v>
      </c>
      <c r="BC82" s="292">
        <f>((BB82+AX80)/2*100)^AX75</f>
        <v>4070.2919361284767</v>
      </c>
      <c r="BD82" s="292">
        <f>(BD81+AW80/360)^AX76/100</f>
        <v>165740.58765624999</v>
      </c>
      <c r="BE82" s="151"/>
      <c r="BF82" s="171"/>
      <c r="BG82" s="171"/>
      <c r="BH82" s="171"/>
      <c r="BI82" s="171"/>
      <c r="BJ82" s="171"/>
      <c r="BK82" s="171"/>
      <c r="BL82" s="171"/>
      <c r="BM82" s="171"/>
      <c r="BN82" s="151"/>
      <c r="BO82" s="151"/>
      <c r="BP82" s="151"/>
      <c r="BQ82" s="151"/>
      <c r="BR82" s="151"/>
      <c r="BS82" s="171"/>
      <c r="BT82" s="171"/>
      <c r="BU82" s="171"/>
      <c r="BV82" s="171"/>
      <c r="BW82" s="171"/>
      <c r="BX82" s="151"/>
      <c r="BY82" s="797"/>
      <c r="BZ82" s="797"/>
      <c r="CA82" s="797"/>
      <c r="CB82" s="797"/>
      <c r="CC82" s="797"/>
      <c r="CD82" s="797"/>
      <c r="CE82" s="797"/>
      <c r="CF82" s="797"/>
      <c r="CG82" s="797"/>
      <c r="CH82" s="797"/>
      <c r="CI82" s="797"/>
      <c r="CJ82" s="797"/>
      <c r="CK82" s="797"/>
      <c r="CL82" s="797"/>
      <c r="CM82" s="797"/>
      <c r="CN82" s="797"/>
      <c r="CO82" s="797"/>
      <c r="CP82" s="797"/>
      <c r="CQ82" s="797"/>
      <c r="CR82" s="797"/>
      <c r="CS82" s="797"/>
      <c r="CT82" s="797"/>
      <c r="CU82" s="797"/>
    </row>
    <row r="83" spans="1:99" x14ac:dyDescent="0.25">
      <c r="A83" s="327">
        <f>SUM(C63)</f>
        <v>133988</v>
      </c>
      <c r="B83" s="327">
        <f>SUM(A72+A69)/2</f>
        <v>134211.34237675759</v>
      </c>
      <c r="C83" s="328">
        <f>SUM((A84/B84)*(B83+B83))/2</f>
        <v>134697.83825151867</v>
      </c>
      <c r="D83" s="328">
        <f>SUM(B83/C83)*(C83+B83)/2</f>
        <v>133968.97299184394</v>
      </c>
      <c r="E83" s="328">
        <f>SUM(C83/D83)*(C83+D83)/2</f>
        <v>135064.25359628958</v>
      </c>
      <c r="F83" s="328">
        <f>SUM(D83+E83)/2</f>
        <v>134516.61329406674</v>
      </c>
      <c r="G83" s="329">
        <f>SUM(E83/F83)*(F83+E83)/2</f>
        <v>135339.18851639968</v>
      </c>
      <c r="H83" s="329">
        <f>SUM(E83/G83)*(G83+E83)/2</f>
        <v>134927.06539463383</v>
      </c>
      <c r="I83" s="292">
        <f>(I76*100)^L75</f>
        <v>3665.0102319093189</v>
      </c>
      <c r="J83" s="292">
        <f>INT(I83)+1</f>
        <v>3666</v>
      </c>
      <c r="K83" s="292">
        <f>(J83+K80/360)^L76/100</f>
        <v>134404.72515625</v>
      </c>
      <c r="L83" s="292">
        <f>INT(J83)+1</f>
        <v>3667</v>
      </c>
      <c r="M83" s="292">
        <f>(L83+K80/360)^L76/100</f>
        <v>134478.05765624999</v>
      </c>
      <c r="N83" s="292">
        <f>(K83+M83)/2</f>
        <v>134441.39140625001</v>
      </c>
      <c r="O83" s="292">
        <f>((N83+L80)/2*100)^L75</f>
        <v>3657.4334676535814</v>
      </c>
      <c r="P83" s="292">
        <f>INT(O83)+1</f>
        <v>3658</v>
      </c>
      <c r="Q83" s="292">
        <f>(P83+K80/360)^L76/100</f>
        <v>133818.78515625</v>
      </c>
      <c r="R83" s="292"/>
      <c r="S83" s="151"/>
      <c r="T83" s="171"/>
      <c r="U83" s="171"/>
      <c r="V83" s="171"/>
      <c r="W83" s="171"/>
      <c r="X83" s="171"/>
      <c r="Y83" s="171"/>
      <c r="Z83" s="171"/>
      <c r="AA83" s="171"/>
      <c r="AB83" s="151"/>
      <c r="AC83" s="151"/>
      <c r="AD83" s="151"/>
      <c r="AE83" s="151"/>
      <c r="AF83" s="151"/>
      <c r="AG83" s="171"/>
      <c r="AH83" s="171"/>
      <c r="AI83" s="171"/>
      <c r="AJ83" s="171"/>
      <c r="AK83" s="171"/>
      <c r="AL83" s="151"/>
      <c r="AM83" s="327">
        <f>SUM(AO63)</f>
        <v>165973</v>
      </c>
      <c r="AN83" s="327">
        <f>SUM(AM72+AM69)/2</f>
        <v>165982.5858078445</v>
      </c>
      <c r="AO83" s="328">
        <f>SUM((AM84/AN84)*(AN83+AN83))/2</f>
        <v>166332.60798615616</v>
      </c>
      <c r="AP83" s="328">
        <f>SUM(AN83/AO83)*(AO83+AN83)/2</f>
        <v>165807.9430034369</v>
      </c>
      <c r="AQ83" s="328">
        <f>SUM(AO83/AP83)*(AO83+AP83)/2</f>
        <v>166595.77057449156</v>
      </c>
      <c r="AR83" s="328">
        <f>SUM(AP83+AQ83)/2</f>
        <v>166201.85678896424</v>
      </c>
      <c r="AS83" s="329">
        <f>SUM(AQ83/AR83)*(AR83+AQ83)/2</f>
        <v>166793.19427332297</v>
      </c>
      <c r="AT83" s="329">
        <f>SUM(AQ83/AS83)*(AS83+AQ83)/2</f>
        <v>166497.1755647258</v>
      </c>
      <c r="AU83" s="292">
        <f>(AU76*100)^AX75</f>
        <v>4074.6410884886536</v>
      </c>
      <c r="AV83" s="292">
        <f>INT(AU83)+1</f>
        <v>4075</v>
      </c>
      <c r="AW83" s="292">
        <f>(AV83+AW80/360)^AX76/100</f>
        <v>166066.43765625</v>
      </c>
      <c r="AX83" s="292">
        <f>INT(AV83)+1</f>
        <v>4076</v>
      </c>
      <c r="AY83" s="292">
        <f>(AX83+AW80/360)^AX76/100</f>
        <v>166147.95015625001</v>
      </c>
      <c r="AZ83" s="292">
        <f>(AW83+AY83)/2</f>
        <v>166107.19390625</v>
      </c>
      <c r="BA83" s="292">
        <f>((AZ83+AX80)/2*100)^AX75</f>
        <v>4072.9178355710173</v>
      </c>
      <c r="BB83" s="292">
        <f>INT(BA83)+1</f>
        <v>4073</v>
      </c>
      <c r="BC83" s="292">
        <f>(BB83+AW80/360)^AX76/100</f>
        <v>165903.47265625</v>
      </c>
      <c r="BD83" s="292"/>
      <c r="BE83" s="151"/>
      <c r="BF83" s="171"/>
      <c r="BG83" s="171"/>
      <c r="BH83" s="171"/>
      <c r="BI83" s="171"/>
      <c r="BJ83" s="171"/>
      <c r="BK83" s="171"/>
      <c r="BL83" s="171"/>
      <c r="BM83" s="171"/>
      <c r="BN83" s="151"/>
      <c r="BO83" s="151"/>
      <c r="BP83" s="151"/>
      <c r="BQ83" s="151"/>
      <c r="BR83" s="151"/>
      <c r="BS83" s="171"/>
      <c r="BT83" s="171"/>
      <c r="BU83" s="171"/>
      <c r="BV83" s="171"/>
      <c r="BW83" s="171"/>
      <c r="BX83" s="151"/>
      <c r="BY83" s="797"/>
      <c r="BZ83" s="797"/>
      <c r="CA83" s="797"/>
      <c r="CB83" s="797"/>
      <c r="CC83" s="797"/>
      <c r="CD83" s="797"/>
      <c r="CE83" s="797"/>
      <c r="CF83" s="797"/>
      <c r="CG83" s="797"/>
      <c r="CH83" s="797"/>
      <c r="CI83" s="797"/>
      <c r="CJ83" s="797"/>
      <c r="CK83" s="797"/>
      <c r="CL83" s="797"/>
      <c r="CM83" s="797"/>
      <c r="CN83" s="797"/>
      <c r="CO83" s="797"/>
      <c r="CP83" s="797"/>
      <c r="CQ83" s="797"/>
      <c r="CR83" s="797"/>
      <c r="CS83" s="797"/>
      <c r="CT83" s="797"/>
      <c r="CU83" s="797"/>
    </row>
    <row r="84" spans="1:99" x14ac:dyDescent="0.25">
      <c r="A84" s="284">
        <f>SUM(A83)</f>
        <v>133988</v>
      </c>
      <c r="B84" s="284">
        <f>SUM(H78+E79)/2</f>
        <v>133504.06788858952</v>
      </c>
      <c r="C84" s="332">
        <f>SUM(A84/B84)*(A84+B84)/2</f>
        <v>134230.84314616458</v>
      </c>
      <c r="D84" s="332">
        <f>SUM(B84/C84)*(B84+A84)/2</f>
        <v>133021.88362242229</v>
      </c>
      <c r="E84" s="332">
        <f>SUM(C84/D84)*(D84+A84)/2</f>
        <v>134718.29157347625</v>
      </c>
      <c r="F84" s="332">
        <f>SUM(D84/A84)*(E84+A84)/2</f>
        <v>133384.39653662877</v>
      </c>
      <c r="G84" s="333">
        <f>SUM(E84/F84)*(A84+F84)/2</f>
        <v>135023.11143803541</v>
      </c>
      <c r="H84" s="333">
        <f>SUM(A84/G84)*(G84+A84)/2</f>
        <v>133474.41195613708</v>
      </c>
      <c r="I84" s="292">
        <f>(J76*100)^L75</f>
        <v>3651.3422189655134</v>
      </c>
      <c r="J84" s="292">
        <f>INT(I84)+1</f>
        <v>3652</v>
      </c>
      <c r="K84" s="292">
        <f>(J84+K80/360)^L76/100</f>
        <v>133380.17015625001</v>
      </c>
      <c r="L84" s="292">
        <f>INT(I84)+1</f>
        <v>3652</v>
      </c>
      <c r="M84" s="292">
        <f>(L84+K80/360)^L76/100</f>
        <v>133380.17015625001</v>
      </c>
      <c r="N84" s="292">
        <f>(K84+M84)/2</f>
        <v>133380.17015625001</v>
      </c>
      <c r="O84" s="292">
        <f>((N84+L80)/2*100)^L75</f>
        <v>3650.1723942592766</v>
      </c>
      <c r="P84" s="292">
        <f>INT(O84)+1</f>
        <v>3651</v>
      </c>
      <c r="Q84" s="292">
        <f>(P84+K80/360)^L76/100</f>
        <v>133307.13765625001</v>
      </c>
      <c r="R84" s="292"/>
      <c r="S84" s="151"/>
      <c r="T84" s="171"/>
      <c r="U84" s="171"/>
      <c r="V84" s="171"/>
      <c r="W84" s="171"/>
      <c r="X84" s="171"/>
      <c r="Y84" s="171"/>
      <c r="Z84" s="171"/>
      <c r="AA84" s="171"/>
      <c r="AB84" s="151"/>
      <c r="AC84" s="151"/>
      <c r="AD84" s="151"/>
      <c r="AE84" s="151"/>
      <c r="AF84" s="151"/>
      <c r="AG84" s="171"/>
      <c r="AH84" s="171"/>
      <c r="AI84" s="171"/>
      <c r="AJ84" s="171"/>
      <c r="AK84" s="171"/>
      <c r="AL84" s="151"/>
      <c r="AM84" s="284">
        <f>SUM(AM83)</f>
        <v>165973</v>
      </c>
      <c r="AN84" s="284">
        <f>SUM(AT78+AQ79)/2</f>
        <v>165623.73456308845</v>
      </c>
      <c r="AO84" s="332">
        <f>SUM(AM84/AN84)*(AM84+AN84)/2</f>
        <v>166148.00098193486</v>
      </c>
      <c r="AP84" s="332">
        <f>SUM(AN84/AO84)*(AN84+AM84)/2</f>
        <v>165275.20410322389</v>
      </c>
      <c r="AQ84" s="332">
        <f>SUM(AO84/AP84)*(AP84+AM84)/2</f>
        <v>166498.74141505611</v>
      </c>
      <c r="AR84" s="332">
        <f>SUM(AP84/AM84)*(AQ84+AM84)/2</f>
        <v>165536.96963038467</v>
      </c>
      <c r="AS84" s="333">
        <f>SUM(AQ84/AR84)*(AM84+AR84)/2</f>
        <v>166718.02327070985</v>
      </c>
      <c r="AT84" s="333">
        <f>SUM(AM84/AS84)*(AS84+AM84)/2</f>
        <v>165602.15303071719</v>
      </c>
      <c r="AU84" s="292">
        <f>(AV76*100)^AX75</f>
        <v>4070.1597020264448</v>
      </c>
      <c r="AV84" s="292">
        <f>INT(AU84)+1</f>
        <v>4071</v>
      </c>
      <c r="AW84" s="292">
        <f>(AV84+AW80/360)^AX76/100</f>
        <v>165740.58765624999</v>
      </c>
      <c r="AX84" s="292">
        <f>INT(AU84)+1</f>
        <v>4071</v>
      </c>
      <c r="AY84" s="292">
        <f>(AX84+AW80/360)^AX76/100</f>
        <v>165740.58765624999</v>
      </c>
      <c r="AZ84" s="292">
        <f>(AW84+AY84)/2</f>
        <v>165740.58765624999</v>
      </c>
      <c r="BA84" s="292">
        <f>((AZ84+AX80)/2*100)^AX75</f>
        <v>4070.6669456997461</v>
      </c>
      <c r="BB84" s="292">
        <f>INT(BA84)+1</f>
        <v>4071</v>
      </c>
      <c r="BC84" s="292">
        <f>(BB84+AW80/360)^AX76/100</f>
        <v>165740.58765624999</v>
      </c>
      <c r="BD84" s="292"/>
      <c r="BE84" s="151"/>
      <c r="BF84" s="171"/>
      <c r="BG84" s="171"/>
      <c r="BH84" s="171"/>
      <c r="BI84" s="171"/>
      <c r="BJ84" s="171"/>
      <c r="BK84" s="171"/>
      <c r="BL84" s="171"/>
      <c r="BM84" s="171"/>
      <c r="BN84" s="151"/>
      <c r="BO84" s="151"/>
      <c r="BP84" s="151"/>
      <c r="BQ84" s="151"/>
      <c r="BR84" s="151"/>
      <c r="BS84" s="171"/>
      <c r="BT84" s="171"/>
      <c r="BU84" s="171"/>
      <c r="BV84" s="171"/>
      <c r="BW84" s="171"/>
      <c r="BX84" s="151"/>
      <c r="BY84" s="797"/>
      <c r="BZ84" s="797"/>
      <c r="CA84" s="797"/>
      <c r="CB84" s="797"/>
      <c r="CC84" s="797"/>
      <c r="CD84" s="797"/>
      <c r="CE84" s="797"/>
      <c r="CF84" s="797"/>
      <c r="CG84" s="797"/>
      <c r="CH84" s="797"/>
      <c r="CI84" s="797"/>
      <c r="CJ84" s="797"/>
      <c r="CK84" s="797"/>
      <c r="CL84" s="797"/>
      <c r="CM84" s="797"/>
      <c r="CN84" s="797"/>
      <c r="CO84" s="797"/>
      <c r="CP84" s="797"/>
      <c r="CQ84" s="797"/>
      <c r="CR84" s="797"/>
      <c r="CS84" s="797"/>
      <c r="CT84" s="797"/>
      <c r="CU84" s="797"/>
    </row>
    <row r="85" spans="1:99" x14ac:dyDescent="0.25">
      <c r="A85" s="334">
        <f>SUM(A84)</f>
        <v>133988</v>
      </c>
      <c r="B85" s="334">
        <f>SUM(C82)</f>
        <v>133220.10465226718</v>
      </c>
      <c r="C85" s="334">
        <f>SUM(B66+A71)/2</f>
        <v>134080.97966713554</v>
      </c>
      <c r="D85" s="334">
        <f>SUM(A71)</f>
        <v>133950.59855802753</v>
      </c>
      <c r="E85" s="334">
        <f>SUM(A72)</f>
        <v>134546.40190335887</v>
      </c>
      <c r="F85" s="334">
        <f>SUM(((A85/B85)+(C85/B85))/2)*(B85+C85)/2</f>
        <v>134467.55863999727</v>
      </c>
      <c r="G85" s="334">
        <f>SUM(((D85/F85)+(E85/C85))/2*(D85+E85+F85)/3)</f>
        <v>134296.44898228315</v>
      </c>
      <c r="H85" s="334">
        <f>SUM(((G85/E85)+(E85/B85))/2*(B85+D85+G85)/3)</f>
        <v>134364.22680122548</v>
      </c>
      <c r="I85" s="335"/>
      <c r="J85" s="257"/>
      <c r="K85" s="257"/>
      <c r="L85" s="257"/>
      <c r="M85" s="257"/>
      <c r="N85" s="257"/>
      <c r="O85" s="257"/>
      <c r="P85" s="257"/>
      <c r="Q85" s="257"/>
      <c r="R85" s="257"/>
      <c r="S85" s="151"/>
      <c r="T85" s="171"/>
      <c r="U85" s="171"/>
      <c r="V85" s="171"/>
      <c r="W85" s="171"/>
      <c r="X85" s="171"/>
      <c r="Y85" s="171"/>
      <c r="Z85" s="171"/>
      <c r="AA85" s="171"/>
      <c r="AB85" s="151"/>
      <c r="AC85" s="151"/>
      <c r="AD85" s="151"/>
      <c r="AE85" s="151"/>
      <c r="AF85" s="151"/>
      <c r="AG85" s="171"/>
      <c r="AH85" s="171"/>
      <c r="AI85" s="171"/>
      <c r="AJ85" s="171"/>
      <c r="AK85" s="171"/>
      <c r="AL85" s="151"/>
      <c r="AM85" s="334">
        <f>SUM(AM84)</f>
        <v>165973</v>
      </c>
      <c r="AN85" s="334">
        <f>SUM(AO82)</f>
        <v>165629.35679291605</v>
      </c>
      <c r="AO85" s="334">
        <f>SUM(AN66+AM71)/2</f>
        <v>165509.94937541295</v>
      </c>
      <c r="AP85" s="334">
        <f>SUM(AM71)</f>
        <v>164898.95780370169</v>
      </c>
      <c r="AQ85" s="334">
        <f>SUM(AM72)</f>
        <v>166342.85233761533</v>
      </c>
      <c r="AR85" s="334">
        <f>SUM(((AM85/AN85)+(AO85/AN85))/2)*(AN85+AO85)/2</f>
        <v>165681.73056429494</v>
      </c>
      <c r="AS85" s="334">
        <f>SUM(((AP85/AR85)+(AQ85/AO85))/2*(AP85+AQ85+AR85)/3)</f>
        <v>165666.67132657644</v>
      </c>
      <c r="AT85" s="334">
        <f>SUM(((AS85/AQ85)+(AQ85/AN85))/2*(AN85+AP85+AS85)/3)</f>
        <v>165418.40803496487</v>
      </c>
      <c r="AU85" s="335"/>
      <c r="AV85" s="257"/>
      <c r="AW85" s="257"/>
      <c r="AX85" s="257"/>
      <c r="AY85" s="257"/>
      <c r="AZ85" s="257"/>
      <c r="BA85" s="257"/>
      <c r="BB85" s="257"/>
      <c r="BC85" s="257"/>
      <c r="BD85" s="257"/>
      <c r="BE85" s="151"/>
      <c r="BF85" s="171"/>
      <c r="BG85" s="171"/>
      <c r="BH85" s="171"/>
      <c r="BI85" s="171"/>
      <c r="BJ85" s="171"/>
      <c r="BK85" s="171"/>
      <c r="BL85" s="171"/>
      <c r="BM85" s="171"/>
      <c r="BN85" s="151"/>
      <c r="BO85" s="151"/>
      <c r="BP85" s="151"/>
      <c r="BQ85" s="151"/>
      <c r="BR85" s="151"/>
      <c r="BS85" s="171"/>
      <c r="BT85" s="171"/>
      <c r="BU85" s="171"/>
      <c r="BV85" s="171"/>
      <c r="BW85" s="171"/>
      <c r="BX85" s="151"/>
      <c r="BY85" s="797"/>
      <c r="BZ85" s="797"/>
      <c r="CA85" s="797"/>
      <c r="CB85" s="797"/>
      <c r="CC85" s="797"/>
      <c r="CD85" s="797"/>
      <c r="CE85" s="797"/>
      <c r="CF85" s="797"/>
      <c r="CG85" s="797"/>
      <c r="CH85" s="797"/>
      <c r="CI85" s="797"/>
      <c r="CJ85" s="797"/>
      <c r="CK85" s="797"/>
      <c r="CL85" s="797"/>
      <c r="CM85" s="797"/>
      <c r="CN85" s="797"/>
      <c r="CO85" s="797"/>
      <c r="CP85" s="797"/>
      <c r="CQ85" s="797"/>
      <c r="CR85" s="797"/>
      <c r="CS85" s="797"/>
      <c r="CT85" s="797"/>
      <c r="CU85" s="797"/>
    </row>
    <row r="86" spans="1:99" x14ac:dyDescent="0.25">
      <c r="A86" s="334">
        <f>SUM(D63)</f>
        <v>132202</v>
      </c>
      <c r="B86" s="334">
        <f>SUM(C63)</f>
        <v>133988</v>
      </c>
      <c r="C86" s="333">
        <f>SUM(A72)</f>
        <v>134546.40190335887</v>
      </c>
      <c r="D86" s="333">
        <f>SUM(A65)</f>
        <v>134503.06227980444</v>
      </c>
      <c r="E86" s="333">
        <f>SUM(B66)</f>
        <v>134211.36077624356</v>
      </c>
      <c r="F86" s="334">
        <f>SUM(A86)</f>
        <v>132202</v>
      </c>
      <c r="G86" s="334">
        <f>SUM(B86)</f>
        <v>133988</v>
      </c>
      <c r="H86" s="334">
        <f>SUM(C86)</f>
        <v>134546.40190335887</v>
      </c>
      <c r="I86" s="257"/>
      <c r="J86" s="257"/>
      <c r="K86" s="257"/>
      <c r="L86" s="257"/>
      <c r="M86" s="257"/>
      <c r="N86" s="257"/>
      <c r="O86" s="257"/>
      <c r="P86" s="257"/>
      <c r="Q86" s="257"/>
      <c r="R86" s="257"/>
      <c r="S86" s="151"/>
      <c r="T86" s="171"/>
      <c r="U86" s="171"/>
      <c r="V86" s="171"/>
      <c r="W86" s="171"/>
      <c r="X86" s="171"/>
      <c r="Y86" s="171"/>
      <c r="Z86" s="171"/>
      <c r="AA86" s="171"/>
      <c r="AB86" s="151"/>
      <c r="AC86" s="151"/>
      <c r="AD86" s="151"/>
      <c r="AE86" s="151"/>
      <c r="AF86" s="151"/>
      <c r="AG86" s="171"/>
      <c r="AH86" s="171"/>
      <c r="AI86" s="171"/>
      <c r="AJ86" s="171"/>
      <c r="AK86" s="171"/>
      <c r="AL86" s="151"/>
      <c r="AM86" s="334">
        <f>SUM(AP63)</f>
        <v>165359</v>
      </c>
      <c r="AN86" s="334">
        <f>SUM(AO63)</f>
        <v>165973</v>
      </c>
      <c r="AO86" s="333">
        <f>SUM(AM72)</f>
        <v>166342.85233761533</v>
      </c>
      <c r="AP86" s="333">
        <f>SUM(AM65)</f>
        <v>166275.97499693267</v>
      </c>
      <c r="AQ86" s="333">
        <f>SUM(AN66)</f>
        <v>166120.94094712418</v>
      </c>
      <c r="AR86" s="334">
        <f>SUM(AM86)</f>
        <v>165359</v>
      </c>
      <c r="AS86" s="334">
        <f>SUM(AN86)</f>
        <v>165973</v>
      </c>
      <c r="AT86" s="334">
        <f>SUM(AO86)</f>
        <v>166342.85233761533</v>
      </c>
      <c r="AU86" s="257"/>
      <c r="AV86" s="257"/>
      <c r="AW86" s="257"/>
      <c r="AX86" s="257"/>
      <c r="AY86" s="257"/>
      <c r="AZ86" s="257"/>
      <c r="BA86" s="257"/>
      <c r="BB86" s="257"/>
      <c r="BC86" s="257"/>
      <c r="BD86" s="257"/>
      <c r="BE86" s="151"/>
      <c r="BF86" s="171"/>
      <c r="BG86" s="171"/>
      <c r="BH86" s="171"/>
      <c r="BI86" s="171"/>
      <c r="BJ86" s="171"/>
      <c r="BK86" s="171"/>
      <c r="BL86" s="171"/>
      <c r="BM86" s="171"/>
      <c r="BN86" s="151"/>
      <c r="BO86" s="151"/>
      <c r="BP86" s="151"/>
      <c r="BQ86" s="151"/>
      <c r="BR86" s="151"/>
      <c r="BS86" s="171"/>
      <c r="BT86" s="171"/>
      <c r="BU86" s="171"/>
      <c r="BV86" s="171"/>
      <c r="BW86" s="171"/>
      <c r="BX86" s="151"/>
      <c r="BY86" s="797"/>
      <c r="BZ86" s="797"/>
      <c r="CA86" s="797"/>
      <c r="CB86" s="797"/>
      <c r="CC86" s="797"/>
      <c r="CD86" s="797"/>
      <c r="CE86" s="797"/>
      <c r="CF86" s="797"/>
      <c r="CG86" s="797"/>
      <c r="CH86" s="797"/>
      <c r="CI86" s="797"/>
      <c r="CJ86" s="797"/>
      <c r="CK86" s="797"/>
      <c r="CL86" s="797"/>
      <c r="CM86" s="797"/>
      <c r="CN86" s="797"/>
      <c r="CO86" s="797"/>
      <c r="CP86" s="797"/>
      <c r="CQ86" s="797"/>
      <c r="CR86" s="797"/>
      <c r="CS86" s="797"/>
      <c r="CT86" s="797"/>
      <c r="CU86" s="797"/>
    </row>
    <row r="87" spans="1:99" x14ac:dyDescent="0.25">
      <c r="A87" s="336">
        <f>SUM(H63)</f>
        <v>133126.78477992237</v>
      </c>
      <c r="B87" s="336">
        <f>SUM(G63)</f>
        <v>133163.30109375002</v>
      </c>
      <c r="C87" s="336">
        <f>SUM(F63)</f>
        <v>133220.10465226718</v>
      </c>
      <c r="D87" s="336">
        <f>SUM(E63)</f>
        <v>133654.08781096819</v>
      </c>
      <c r="E87" s="336">
        <f>SUM(D63)</f>
        <v>132202</v>
      </c>
      <c r="F87" s="336">
        <f>SUM(C63)</f>
        <v>133988</v>
      </c>
      <c r="G87" s="337">
        <f>SUM(A72)</f>
        <v>134546.40190335887</v>
      </c>
      <c r="H87" s="337">
        <f>SUM(A71)</f>
        <v>133950.59855802753</v>
      </c>
      <c r="I87" s="292"/>
      <c r="J87" s="292"/>
      <c r="K87" s="292"/>
      <c r="L87" s="292"/>
      <c r="M87" s="292"/>
      <c r="N87" s="292"/>
      <c r="O87" s="292"/>
      <c r="P87" s="292"/>
      <c r="Q87" s="292"/>
      <c r="R87" s="292"/>
      <c r="S87" s="151"/>
      <c r="T87" s="171"/>
      <c r="U87" s="171"/>
      <c r="V87" s="171"/>
      <c r="W87" s="171"/>
      <c r="X87" s="171"/>
      <c r="Y87" s="171"/>
      <c r="Z87" s="171"/>
      <c r="AA87" s="171"/>
      <c r="AB87" s="151"/>
      <c r="AC87" s="151"/>
      <c r="AD87" s="151"/>
      <c r="AE87" s="151"/>
      <c r="AF87" s="151"/>
      <c r="AG87" s="171"/>
      <c r="AH87" s="171"/>
      <c r="AI87" s="171"/>
      <c r="AJ87" s="171"/>
      <c r="AK87" s="171"/>
      <c r="AL87" s="151"/>
      <c r="AM87" s="336">
        <f>SUM(AT63)</f>
        <v>165568.21466013868</v>
      </c>
      <c r="AN87" s="336">
        <f>SUM(AS63)</f>
        <v>165568.36776041667</v>
      </c>
      <c r="AO87" s="336">
        <f>SUM(AR63)</f>
        <v>165629.35679291605</v>
      </c>
      <c r="AP87" s="336">
        <f>SUM(AQ63)</f>
        <v>165865.13506624813</v>
      </c>
      <c r="AQ87" s="336">
        <f>SUM(AP63)</f>
        <v>165359</v>
      </c>
      <c r="AR87" s="336">
        <f>SUM(AO63)</f>
        <v>165973</v>
      </c>
      <c r="AS87" s="337">
        <f>SUM(AM72)</f>
        <v>166342.85233761533</v>
      </c>
      <c r="AT87" s="337">
        <f>SUM(AM71)</f>
        <v>164898.95780370169</v>
      </c>
      <c r="AU87" s="292"/>
      <c r="AV87" s="292"/>
      <c r="AW87" s="292"/>
      <c r="AX87" s="292"/>
      <c r="AY87" s="292"/>
      <c r="AZ87" s="292"/>
      <c r="BA87" s="292"/>
      <c r="BB87" s="292"/>
      <c r="BC87" s="292"/>
      <c r="BD87" s="292"/>
      <c r="BE87" s="151"/>
      <c r="BF87" s="171"/>
      <c r="BG87" s="171"/>
      <c r="BH87" s="171"/>
      <c r="BI87" s="171"/>
      <c r="BJ87" s="171"/>
      <c r="BK87" s="171"/>
      <c r="BL87" s="171"/>
      <c r="BM87" s="171"/>
      <c r="BN87" s="151"/>
      <c r="BO87" s="151"/>
      <c r="BP87" s="151"/>
      <c r="BQ87" s="151"/>
      <c r="BR87" s="151"/>
      <c r="BS87" s="171"/>
      <c r="BT87" s="171"/>
      <c r="BU87" s="171"/>
      <c r="BV87" s="171"/>
      <c r="BW87" s="171"/>
      <c r="BX87" s="151"/>
      <c r="BY87" s="797"/>
      <c r="BZ87" s="797"/>
      <c r="CA87" s="797"/>
      <c r="CB87" s="797"/>
      <c r="CC87" s="797"/>
      <c r="CD87" s="797"/>
      <c r="CE87" s="797"/>
      <c r="CF87" s="797"/>
      <c r="CG87" s="797"/>
      <c r="CH87" s="797"/>
      <c r="CI87" s="797"/>
      <c r="CJ87" s="797"/>
      <c r="CK87" s="797"/>
      <c r="CL87" s="797"/>
      <c r="CM87" s="797"/>
      <c r="CN87" s="797"/>
      <c r="CO87" s="797"/>
      <c r="CP87" s="797"/>
      <c r="CQ87" s="797"/>
      <c r="CR87" s="797"/>
      <c r="CS87" s="797"/>
      <c r="CT87" s="797"/>
      <c r="CU87" s="797"/>
    </row>
    <row r="88" spans="1:99" ht="15.75" thickBot="1" x14ac:dyDescent="0.3">
      <c r="A88" s="292"/>
      <c r="B88" s="292"/>
      <c r="C88" s="292"/>
      <c r="D88" s="292"/>
      <c r="E88" s="292"/>
      <c r="F88" s="292"/>
      <c r="G88" s="292"/>
      <c r="H88" s="292"/>
      <c r="I88" s="292"/>
      <c r="J88" s="292"/>
      <c r="K88" s="292"/>
      <c r="L88" s="292"/>
      <c r="M88" s="292"/>
      <c r="N88" s="292"/>
      <c r="O88" s="292"/>
      <c r="P88" s="292"/>
      <c r="Q88" s="292"/>
      <c r="R88" s="292"/>
      <c r="S88" s="151"/>
      <c r="T88" s="171"/>
      <c r="U88" s="171"/>
      <c r="V88" s="171"/>
      <c r="W88" s="171"/>
      <c r="X88" s="171"/>
      <c r="Y88" s="171"/>
      <c r="Z88" s="171"/>
      <c r="AA88" s="171"/>
      <c r="AB88" s="151"/>
      <c r="AC88" s="151"/>
      <c r="AD88" s="151"/>
      <c r="AE88" s="151"/>
      <c r="AF88" s="151"/>
      <c r="AG88" s="171"/>
      <c r="AH88" s="171"/>
      <c r="AI88" s="171"/>
      <c r="AJ88" s="171"/>
      <c r="AK88" s="171"/>
      <c r="AL88" s="151"/>
      <c r="AM88" s="292"/>
      <c r="AN88" s="292"/>
      <c r="AO88" s="292"/>
      <c r="AP88" s="292"/>
      <c r="AQ88" s="292"/>
      <c r="AR88" s="292"/>
      <c r="AS88" s="292"/>
      <c r="AT88" s="292"/>
      <c r="AU88" s="292"/>
      <c r="AV88" s="292"/>
      <c r="AW88" s="292"/>
      <c r="AX88" s="292"/>
      <c r="AY88" s="292"/>
      <c r="AZ88" s="292"/>
      <c r="BA88" s="292"/>
      <c r="BB88" s="292"/>
      <c r="BC88" s="292"/>
      <c r="BD88" s="292"/>
      <c r="BE88" s="151"/>
      <c r="BF88" s="171"/>
      <c r="BG88" s="171"/>
      <c r="BH88" s="171"/>
      <c r="BI88" s="171"/>
      <c r="BJ88" s="171"/>
      <c r="BK88" s="171"/>
      <c r="BL88" s="171"/>
      <c r="BM88" s="171"/>
      <c r="BN88" s="151"/>
      <c r="BO88" s="151"/>
      <c r="BP88" s="151"/>
      <c r="BQ88" s="151"/>
      <c r="BR88" s="151"/>
      <c r="BS88" s="171"/>
      <c r="BT88" s="171"/>
      <c r="BU88" s="171"/>
      <c r="BV88" s="171"/>
      <c r="BW88" s="171"/>
      <c r="BX88" s="151"/>
      <c r="BY88" s="797"/>
      <c r="BZ88" s="797"/>
      <c r="CA88" s="797"/>
      <c r="CB88" s="797"/>
      <c r="CC88" s="797"/>
      <c r="CD88" s="797"/>
      <c r="CE88" s="797"/>
      <c r="CF88" s="797"/>
      <c r="CG88" s="797"/>
      <c r="CH88" s="797"/>
      <c r="CI88" s="797"/>
      <c r="CJ88" s="797"/>
      <c r="CK88" s="797"/>
      <c r="CL88" s="797"/>
      <c r="CM88" s="797"/>
      <c r="CN88" s="797"/>
      <c r="CO88" s="797"/>
      <c r="CP88" s="797"/>
      <c r="CQ88" s="797"/>
      <c r="CR88" s="797"/>
      <c r="CS88" s="797"/>
      <c r="CT88" s="797"/>
      <c r="CU88" s="797"/>
    </row>
    <row r="89" spans="1:99" ht="15.75" thickBot="1" x14ac:dyDescent="0.3">
      <c r="A89" s="338">
        <f>(A101+A97*2)/3</f>
        <v>131213.59142172744</v>
      </c>
      <c r="B89" s="339">
        <f>(A91+A98*2)/3</f>
        <v>131296.76511527138</v>
      </c>
      <c r="C89" s="340">
        <f>C63</f>
        <v>133988</v>
      </c>
      <c r="D89" s="341">
        <f>D63</f>
        <v>132202</v>
      </c>
      <c r="E89" s="342">
        <f>(I101+K97+Q107)/3</f>
        <v>133654.08781096819</v>
      </c>
      <c r="F89" s="342">
        <f>(J101+K99+R108)/3</f>
        <v>133220.10465226718</v>
      </c>
      <c r="G89" s="342">
        <f>G63</f>
        <v>133163.30109375002</v>
      </c>
      <c r="H89" s="343">
        <f>H63</f>
        <v>133126.78477992237</v>
      </c>
      <c r="I89" s="256">
        <f>((D90+F90+H90)^0.5)*10000</f>
        <v>15809.72020203696</v>
      </c>
      <c r="J89" s="256">
        <f>INT(I89/3)</f>
        <v>5269</v>
      </c>
      <c r="K89" s="256">
        <f>(J89)/30000</f>
        <v>0.17563333333333334</v>
      </c>
      <c r="L89" s="257"/>
      <c r="M89" s="257"/>
      <c r="N89" s="257"/>
      <c r="O89" s="257"/>
      <c r="P89" s="257"/>
      <c r="Q89" s="257"/>
      <c r="R89" s="257"/>
      <c r="S89" s="151"/>
      <c r="T89" s="152"/>
      <c r="U89" s="154"/>
      <c r="V89" s="154"/>
      <c r="W89" s="154"/>
      <c r="X89" s="154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150"/>
      <c r="AL89" s="151"/>
      <c r="AM89" s="338">
        <f>(AM101+AM97*2)/3</f>
        <v>163815.71374303583</v>
      </c>
      <c r="AN89" s="339">
        <f>(AM91+AM98*2)/3</f>
        <v>163886.90011406798</v>
      </c>
      <c r="AO89" s="340">
        <f>AO63</f>
        <v>165973</v>
      </c>
      <c r="AP89" s="341">
        <f>AP63</f>
        <v>165359</v>
      </c>
      <c r="AQ89" s="342">
        <f>(AU101+AW97+BC107)/3</f>
        <v>165865.13506624813</v>
      </c>
      <c r="AR89" s="342">
        <f>(AV101+AW99+BD108)/3</f>
        <v>165629.35679291605</v>
      </c>
      <c r="AS89" s="342">
        <f>AS63</f>
        <v>165568.36776041667</v>
      </c>
      <c r="AT89" s="343">
        <f>AT63</f>
        <v>165568.21466013868</v>
      </c>
      <c r="AU89" s="256">
        <f>((AP90+AR90+AT90)^0.5)*10000</f>
        <v>13897.386840963783</v>
      </c>
      <c r="AV89" s="256">
        <f>INT(AU89/3)</f>
        <v>4632</v>
      </c>
      <c r="AW89" s="256">
        <f>(AV89)/30000</f>
        <v>0.15440000000000001</v>
      </c>
      <c r="AX89" s="257"/>
      <c r="AY89" s="257"/>
      <c r="AZ89" s="257"/>
      <c r="BA89" s="257"/>
      <c r="BB89" s="257"/>
      <c r="BC89" s="257"/>
      <c r="BD89" s="257"/>
      <c r="BE89" s="151"/>
      <c r="BF89" s="152"/>
      <c r="BG89" s="154"/>
      <c r="BH89" s="154"/>
      <c r="BI89" s="154"/>
      <c r="BJ89" s="154"/>
      <c r="BK89" s="149"/>
      <c r="BL89" s="149"/>
      <c r="BM89" s="149"/>
      <c r="BN89" s="149"/>
      <c r="BO89" s="149"/>
      <c r="BP89" s="149"/>
      <c r="BQ89" s="149"/>
      <c r="BR89" s="149"/>
      <c r="BS89" s="149"/>
      <c r="BT89" s="149"/>
      <c r="BU89" s="149"/>
      <c r="BV89" s="149"/>
      <c r="BW89" s="150"/>
      <c r="BX89" s="151"/>
      <c r="BY89" s="797"/>
      <c r="BZ89" s="797"/>
      <c r="CA89" s="797"/>
      <c r="CB89" s="797"/>
      <c r="CC89" s="797"/>
      <c r="CD89" s="797"/>
      <c r="CE89" s="797"/>
      <c r="CF89" s="797"/>
      <c r="CG89" s="797"/>
      <c r="CH89" s="797"/>
      <c r="CI89" s="797"/>
      <c r="CJ89" s="797"/>
      <c r="CK89" s="797"/>
      <c r="CL89" s="797"/>
      <c r="CM89" s="797"/>
      <c r="CN89" s="797"/>
      <c r="CO89" s="797"/>
      <c r="CP89" s="797"/>
      <c r="CQ89" s="797"/>
      <c r="CR89" s="797"/>
      <c r="CS89" s="797"/>
      <c r="CT89" s="797"/>
      <c r="CU89" s="797"/>
    </row>
    <row r="90" spans="1:99" x14ac:dyDescent="0.25">
      <c r="A90" s="344">
        <f>(J92+45/360)^2/100</f>
        <v>131270.34765625</v>
      </c>
      <c r="B90" s="345">
        <f>(A89+A91)/2</f>
        <v>131231.78227669513</v>
      </c>
      <c r="C90" s="346">
        <f>SUM((D90+F90+H90)/3)+((D95+F95+H95)/3)</f>
        <v>1.4525739975045631</v>
      </c>
      <c r="D90" s="264">
        <f>SUM(C89-D89)-D100-E97</f>
        <v>1</v>
      </c>
      <c r="E90" s="347">
        <v>2</v>
      </c>
      <c r="F90" s="266">
        <f>SUM(E89-F89)-D100-E98</f>
        <v>0.98315870101214387</v>
      </c>
      <c r="G90" s="267">
        <f>SUM(H96+H98)/2</f>
        <v>133145.20146620189</v>
      </c>
      <c r="H90" s="268">
        <f>SUM(G89-H89)-D100-E99</f>
        <v>0.51631382765481248</v>
      </c>
      <c r="I90" s="256">
        <f>SUM((D92+F92+H92)^0.5)*10000</f>
        <v>13631.762409339199</v>
      </c>
      <c r="J90" s="256">
        <f>INT(I90/3)</f>
        <v>4543</v>
      </c>
      <c r="K90" s="256">
        <f>J90/10000</f>
        <v>0.45429999999999998</v>
      </c>
      <c r="L90" s="257"/>
      <c r="M90" s="257"/>
      <c r="N90" s="257"/>
      <c r="O90" s="257"/>
      <c r="P90" s="257"/>
      <c r="Q90" s="257"/>
      <c r="R90" s="257"/>
      <c r="S90" s="151"/>
      <c r="T90" s="163"/>
      <c r="U90" s="154"/>
      <c r="V90" s="164"/>
      <c r="W90" s="154"/>
      <c r="X90" s="163"/>
      <c r="Y90" s="165"/>
      <c r="Z90" s="161"/>
      <c r="AA90" s="152"/>
      <c r="AB90" s="161"/>
      <c r="AC90" s="161"/>
      <c r="AD90" s="161"/>
      <c r="AE90" s="161"/>
      <c r="AF90" s="161"/>
      <c r="AG90" s="161"/>
      <c r="AH90" s="161"/>
      <c r="AI90" s="161"/>
      <c r="AJ90" s="162"/>
      <c r="AK90" s="150"/>
      <c r="AL90" s="151"/>
      <c r="AM90" s="344">
        <f>(AV92+45/360)^2/100</f>
        <v>163873.16015625</v>
      </c>
      <c r="AN90" s="345">
        <f>(AM89+AM91)/2</f>
        <v>163828.32143698831</v>
      </c>
      <c r="AO90" s="346">
        <f>SUM((AP90+AR90+AT90)/3)+((AP95+AR95+AT95)/3)</f>
        <v>1.1567438840478039</v>
      </c>
      <c r="AP90" s="264">
        <f>SUM(AO89-AP89)-AP100-AQ97</f>
        <v>1</v>
      </c>
      <c r="AQ90" s="347">
        <v>2</v>
      </c>
      <c r="AR90" s="266">
        <f>SUM(AQ89-AR89)-AP100-AQ98</f>
        <v>0.77827333207824267</v>
      </c>
      <c r="AS90" s="267">
        <f>SUM(AT96+AT98)/2</f>
        <v>165568.44337228339</v>
      </c>
      <c r="AT90" s="268">
        <f>SUM(AS89-AT89)-AP100-AQ99</f>
        <v>0.1531002779956907</v>
      </c>
      <c r="AU90" s="256">
        <f>SUM((AP92+AR92+AT92)^0.5)*10000</f>
        <v>12405.071713091698</v>
      </c>
      <c r="AV90" s="256">
        <f>INT(AU90/3)</f>
        <v>4135</v>
      </c>
      <c r="AW90" s="256">
        <f>AV90/10000</f>
        <v>0.41349999999999998</v>
      </c>
      <c r="AX90" s="257"/>
      <c r="AY90" s="257"/>
      <c r="AZ90" s="257"/>
      <c r="BA90" s="257"/>
      <c r="BB90" s="257"/>
      <c r="BC90" s="257"/>
      <c r="BD90" s="257"/>
      <c r="BE90" s="151"/>
      <c r="BF90" s="163"/>
      <c r="BG90" s="154"/>
      <c r="BH90" s="164"/>
      <c r="BI90" s="154"/>
      <c r="BJ90" s="163"/>
      <c r="BK90" s="165"/>
      <c r="BL90" s="161"/>
      <c r="BM90" s="152"/>
      <c r="BN90" s="161"/>
      <c r="BO90" s="161"/>
      <c r="BP90" s="161"/>
      <c r="BQ90" s="161"/>
      <c r="BR90" s="161"/>
      <c r="BS90" s="161"/>
      <c r="BT90" s="161"/>
      <c r="BU90" s="161"/>
      <c r="BV90" s="162"/>
      <c r="BW90" s="150"/>
      <c r="BX90" s="151"/>
      <c r="BY90" s="797"/>
      <c r="BZ90" s="797"/>
      <c r="CA90" s="797"/>
      <c r="CB90" s="797"/>
      <c r="CC90" s="797"/>
      <c r="CD90" s="797"/>
      <c r="CE90" s="797"/>
      <c r="CF90" s="797"/>
      <c r="CG90" s="797"/>
      <c r="CH90" s="797"/>
      <c r="CI90" s="797"/>
      <c r="CJ90" s="797"/>
      <c r="CK90" s="797"/>
      <c r="CL90" s="797"/>
      <c r="CM90" s="797"/>
      <c r="CN90" s="797"/>
      <c r="CO90" s="797"/>
      <c r="CP90" s="797"/>
      <c r="CQ90" s="797"/>
      <c r="CR90" s="797"/>
      <c r="CS90" s="797"/>
      <c r="CT90" s="797"/>
      <c r="CU90" s="797"/>
    </row>
    <row r="91" spans="1:99" ht="15.75" thickBot="1" x14ac:dyDescent="0.3">
      <c r="A91" s="348">
        <f>(A98+K93)/2</f>
        <v>131249.97313166282</v>
      </c>
      <c r="B91" s="349">
        <f>SUM((A98-A100)+A97)/2</f>
        <v>130460.84896545188</v>
      </c>
      <c r="C91" s="346">
        <f>SUM(D96+D98)/2</f>
        <v>133095.21492133377</v>
      </c>
      <c r="D91" s="267">
        <f>SUM(C89+D89)/2</f>
        <v>133095</v>
      </c>
      <c r="E91" s="267">
        <f>SUM(D97+D99)/2</f>
        <v>133095.06997377792</v>
      </c>
      <c r="F91" s="350">
        <f>SUM(E89+F89)/2</f>
        <v>133437.09623161767</v>
      </c>
      <c r="G91" s="267">
        <f>SUM(H97+H99)/2</f>
        <v>133145.04518451728</v>
      </c>
      <c r="H91" s="267">
        <f>SUM(G89+H89)/2</f>
        <v>133145.04293683619</v>
      </c>
      <c r="I91" s="256">
        <f>K90*K89</f>
        <v>7.9790223333333327E-2</v>
      </c>
      <c r="J91" s="256"/>
      <c r="K91" s="256"/>
      <c r="L91" s="257"/>
      <c r="M91" s="257"/>
      <c r="N91" s="257"/>
      <c r="O91" s="257"/>
      <c r="P91" s="257"/>
      <c r="Q91" s="257"/>
      <c r="R91" s="257"/>
      <c r="S91" s="151"/>
      <c r="T91" s="163"/>
      <c r="U91" s="163"/>
      <c r="V91" s="154"/>
      <c r="W91" s="154"/>
      <c r="X91" s="173"/>
      <c r="Y91" s="174"/>
      <c r="Z91" s="161"/>
      <c r="AA91" s="161"/>
      <c r="AB91" s="161"/>
      <c r="AC91" s="161"/>
      <c r="AD91" s="161"/>
      <c r="AE91" s="161"/>
      <c r="AF91" s="161"/>
      <c r="AG91" s="161"/>
      <c r="AH91" s="161"/>
      <c r="AI91" s="161"/>
      <c r="AJ91" s="149"/>
      <c r="AK91" s="171"/>
      <c r="AL91" s="151"/>
      <c r="AM91" s="348">
        <f>(AM98+AW93)/2</f>
        <v>163840.92913094079</v>
      </c>
      <c r="AN91" s="349">
        <f>SUM((AM98-AM100)+AM97)/2</f>
        <v>163238.12070859782</v>
      </c>
      <c r="AO91" s="346">
        <f>SUM(AP96+AP98)/2</f>
        <v>165666.07815332001</v>
      </c>
      <c r="AP91" s="267">
        <f>SUM(AO89+AP89)/2</f>
        <v>165666</v>
      </c>
      <c r="AQ91" s="267">
        <f>SUM(AP97+AP99)/2</f>
        <v>165666.05176887999</v>
      </c>
      <c r="AR91" s="350">
        <f>SUM(AQ89+AR89)/2</f>
        <v>165747.2459295821</v>
      </c>
      <c r="AS91" s="267">
        <f>SUM(AT97+AT99)/2</f>
        <v>165568.20508653004</v>
      </c>
      <c r="AT91" s="267">
        <f>SUM(AS89+AT89)/2</f>
        <v>165568.29121027768</v>
      </c>
      <c r="AU91" s="256">
        <f>AW90*AW89</f>
        <v>6.3844399999999996E-2</v>
      </c>
      <c r="AV91" s="256"/>
      <c r="AW91" s="256"/>
      <c r="AX91" s="257"/>
      <c r="AY91" s="257"/>
      <c r="AZ91" s="257"/>
      <c r="BA91" s="257"/>
      <c r="BB91" s="257"/>
      <c r="BC91" s="257"/>
      <c r="BD91" s="257"/>
      <c r="BE91" s="151"/>
      <c r="BF91" s="163"/>
      <c r="BG91" s="163"/>
      <c r="BH91" s="154"/>
      <c r="BI91" s="154"/>
      <c r="BJ91" s="173"/>
      <c r="BK91" s="174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49"/>
      <c r="BW91" s="171"/>
      <c r="BX91" s="151"/>
      <c r="BY91" s="797"/>
      <c r="BZ91" s="797"/>
      <c r="CA91" s="797"/>
      <c r="CB91" s="797"/>
      <c r="CC91" s="797"/>
      <c r="CD91" s="797"/>
      <c r="CE91" s="797"/>
      <c r="CF91" s="797"/>
      <c r="CG91" s="797"/>
      <c r="CH91" s="797"/>
      <c r="CI91" s="797"/>
      <c r="CJ91" s="797"/>
      <c r="CK91" s="797"/>
      <c r="CL91" s="797"/>
      <c r="CM91" s="797"/>
      <c r="CN91" s="797"/>
      <c r="CO91" s="797"/>
      <c r="CP91" s="797"/>
      <c r="CQ91" s="797"/>
      <c r="CR91" s="797"/>
      <c r="CS91" s="797"/>
      <c r="CT91" s="797"/>
      <c r="CU91" s="797"/>
    </row>
    <row r="92" spans="1:99" ht="15.75" thickBot="1" x14ac:dyDescent="0.3">
      <c r="A92" s="344">
        <f>(B89+A98+B91)/3</f>
        <v>131025.92506259965</v>
      </c>
      <c r="B92" s="752">
        <f>SUM(A98+A100)</f>
        <v>132920.86445807049</v>
      </c>
      <c r="C92" s="346">
        <f>SUM(C91+E92+G90+F106)/4</f>
        <v>133131.75824219728</v>
      </c>
      <c r="D92" s="271">
        <f>SUM((((D91*0.6)-2)/-2)-D101-E100)</f>
        <v>0.5</v>
      </c>
      <c r="E92" s="347">
        <f>SUM(F98+F96)/2</f>
        <v>133437.53333008825</v>
      </c>
      <c r="F92" s="271">
        <f>SUM((((F91*0.6)-2)/-2)-D101-E101)</f>
        <v>0.87113051470078062</v>
      </c>
      <c r="G92" s="347"/>
      <c r="H92" s="271">
        <f>SUM((((H91*0.6)-2)/-2)-D101-E102)</f>
        <v>0.48711894914595177</v>
      </c>
      <c r="I92" s="256">
        <f>((A97*100))^0.5</f>
        <v>3622.1849783635143</v>
      </c>
      <c r="J92" s="273">
        <f>INT(I92)+J103</f>
        <v>3623</v>
      </c>
      <c r="K92" s="256">
        <f>((J92)+45/360)^2/100</f>
        <v>131270.34765625</v>
      </c>
      <c r="L92" s="257"/>
      <c r="M92" s="257"/>
      <c r="N92" s="257"/>
      <c r="O92" s="257"/>
      <c r="P92" s="257"/>
      <c r="Q92" s="257"/>
      <c r="R92" s="257"/>
      <c r="S92" s="151"/>
      <c r="T92" s="277"/>
      <c r="U92" s="154"/>
      <c r="V92" s="154"/>
      <c r="W92" s="154"/>
      <c r="X92" s="163"/>
      <c r="Y92" s="174"/>
      <c r="Z92" s="161"/>
      <c r="AA92" s="152"/>
      <c r="AB92" s="161"/>
      <c r="AC92" s="161"/>
      <c r="AD92" s="161"/>
      <c r="AE92" s="161"/>
      <c r="AF92" s="161"/>
      <c r="AG92" s="161"/>
      <c r="AH92" s="161"/>
      <c r="AI92" s="152"/>
      <c r="AJ92" s="162"/>
      <c r="AK92" s="150"/>
      <c r="AL92" s="151"/>
      <c r="AM92" s="344">
        <f>(AN89+AM98+AN91)/3</f>
        <v>163678.30214276581</v>
      </c>
      <c r="AN92" s="752">
        <f>SUM(AM98+AM100)</f>
        <v>165147.75425446054</v>
      </c>
      <c r="AO92" s="346">
        <f>SUM(AO91+AQ92+AS90+AR106)/4</f>
        <v>165625.14649926932</v>
      </c>
      <c r="AP92" s="271">
        <f>SUM((((AP91*0.6)-2)/-2)-AP101-AQ100)</f>
        <v>0.20000000000436557</v>
      </c>
      <c r="AQ92" s="347">
        <f>SUM(AR98+AR96)/2</f>
        <v>165747.60612081055</v>
      </c>
      <c r="AR92" s="271">
        <f>SUM((((AR91*0.6)-2)/-2)-AP101-AQ101)</f>
        <v>0.82622112536773784</v>
      </c>
      <c r="AS92" s="347"/>
      <c r="AT92" s="271">
        <f>SUM((((AT91*0.6)-2)/-2)-AP101-AQ102)</f>
        <v>0.51263691669737455</v>
      </c>
      <c r="AU92" s="256">
        <f>((AM97*100))^0.5</f>
        <v>4047.2734582727794</v>
      </c>
      <c r="AV92" s="273">
        <f>INT(AU92)+AV103</f>
        <v>4048</v>
      </c>
      <c r="AW92" s="256">
        <f>((AV92)+45/360)^2/100</f>
        <v>163873.16015625</v>
      </c>
      <c r="AX92" s="257"/>
      <c r="AY92" s="257"/>
      <c r="AZ92" s="257"/>
      <c r="BA92" s="257"/>
      <c r="BB92" s="257"/>
      <c r="BC92" s="257"/>
      <c r="BD92" s="257"/>
      <c r="BE92" s="151"/>
      <c r="BF92" s="277"/>
      <c r="BG92" s="154"/>
      <c r="BH92" s="154"/>
      <c r="BI92" s="154"/>
      <c r="BJ92" s="163"/>
      <c r="BK92" s="174"/>
      <c r="BL92" s="161"/>
      <c r="BM92" s="152"/>
      <c r="BN92" s="161"/>
      <c r="BO92" s="161"/>
      <c r="BP92" s="161"/>
      <c r="BQ92" s="161"/>
      <c r="BR92" s="161"/>
      <c r="BS92" s="161"/>
      <c r="BT92" s="161"/>
      <c r="BU92" s="152"/>
      <c r="BV92" s="162"/>
      <c r="BW92" s="150"/>
      <c r="BX92" s="151"/>
      <c r="BY92" s="797"/>
      <c r="BZ92" s="797"/>
      <c r="CA92" s="797"/>
      <c r="CB92" s="797"/>
      <c r="CC92" s="797"/>
      <c r="CD92" s="797"/>
      <c r="CE92" s="797"/>
      <c r="CF92" s="797"/>
      <c r="CG92" s="797"/>
      <c r="CH92" s="797"/>
      <c r="CI92" s="797"/>
      <c r="CJ92" s="797"/>
      <c r="CK92" s="797"/>
      <c r="CL92" s="797"/>
      <c r="CM92" s="797"/>
      <c r="CN92" s="797"/>
      <c r="CO92" s="797"/>
      <c r="CP92" s="797"/>
      <c r="CQ92" s="797"/>
      <c r="CR92" s="797"/>
      <c r="CS92" s="797"/>
      <c r="CT92" s="797"/>
      <c r="CU92" s="797"/>
    </row>
    <row r="93" spans="1:99" x14ac:dyDescent="0.25">
      <c r="A93" s="348">
        <f>SUM((C93-B99)/2+C99/2+A94)</f>
        <v>133132.04587431898</v>
      </c>
      <c r="B93" s="348">
        <f>SUM(C98-C99)</f>
        <v>-0.10270397437852807</v>
      </c>
      <c r="C93" s="348">
        <f>SUM(E91+E93+H91+F105)/4</f>
        <v>133131.80959418445</v>
      </c>
      <c r="D93" s="351">
        <f>SUM(((D92*D90)+I91)/2)</f>
        <v>0.28989511166666665</v>
      </c>
      <c r="E93" s="352">
        <f>SUM(F97+F99)/2</f>
        <v>133437.11854672624</v>
      </c>
      <c r="F93" s="351">
        <f>SUM(((F92*F90)+I91)/2)</f>
        <v>0.46812488428929655</v>
      </c>
      <c r="G93" s="353"/>
      <c r="H93" s="276">
        <f>SUM(((H92*H90)+I91)/2)</f>
        <v>0.16564823624503483</v>
      </c>
      <c r="I93" s="256">
        <f>(A98*100)^0.5</f>
        <v>3623.8123724480502</v>
      </c>
      <c r="J93" s="256">
        <f>INT(I93)-J103</f>
        <v>3622</v>
      </c>
      <c r="K93" s="256">
        <f>(J93-45/360)^2/100</f>
        <v>131179.78515625</v>
      </c>
      <c r="L93" s="257"/>
      <c r="M93" s="257"/>
      <c r="N93" s="257"/>
      <c r="O93" s="257"/>
      <c r="P93" s="257"/>
      <c r="Q93" s="257"/>
      <c r="R93" s="257"/>
      <c r="S93" s="151"/>
      <c r="T93" s="277"/>
      <c r="U93" s="154"/>
      <c r="V93" s="163"/>
      <c r="W93" s="154"/>
      <c r="X93" s="154"/>
      <c r="Y93" s="161"/>
      <c r="Z93" s="161"/>
      <c r="AA93" s="161"/>
      <c r="AB93" s="161"/>
      <c r="AC93" s="161"/>
      <c r="AD93" s="161"/>
      <c r="AE93" s="161"/>
      <c r="AF93" s="161"/>
      <c r="AG93" s="164"/>
      <c r="AH93" s="152"/>
      <c r="AI93" s="152"/>
      <c r="AJ93" s="162"/>
      <c r="AK93" s="171"/>
      <c r="AL93" s="151"/>
      <c r="AM93" s="348">
        <f>SUM((AO93-AN99)/2+AO99/2+AM94)</f>
        <v>165625.28383500452</v>
      </c>
      <c r="AN93" s="348">
        <f>SUM(AO98-AO99)</f>
        <v>-1.3829908275511116E-3</v>
      </c>
      <c r="AO93" s="348">
        <f>SUM(AQ91+AQ93+AT91+AR105)/4</f>
        <v>165625.14719076472</v>
      </c>
      <c r="AP93" s="351">
        <f>SUM(((AP92*AP90)+AU91)/2)</f>
        <v>0.1319222000021828</v>
      </c>
      <c r="AQ93" s="352">
        <f>SUM(AR97+AR99)/2</f>
        <v>165747.23091127654</v>
      </c>
      <c r="AR93" s="351">
        <f>SUM(((AR92*AR90)+AU91)/2)</f>
        <v>0.35343513413669242</v>
      </c>
      <c r="AS93" s="353"/>
      <c r="AT93" s="276">
        <f>SUM(((AT92*AT90)+AU91)/2)</f>
        <v>7.1164627228610888E-2</v>
      </c>
      <c r="AU93" s="256">
        <f>(AM98*100)^0.5</f>
        <v>4048.5785852028557</v>
      </c>
      <c r="AV93" s="256">
        <f>INT(AU93)-AV103</f>
        <v>4047</v>
      </c>
      <c r="AW93" s="256">
        <f>(AV93-45/360)^2/100</f>
        <v>163771.97265625</v>
      </c>
      <c r="AX93" s="257"/>
      <c r="AY93" s="257"/>
      <c r="AZ93" s="257"/>
      <c r="BA93" s="257"/>
      <c r="BB93" s="257"/>
      <c r="BC93" s="257"/>
      <c r="BD93" s="257"/>
      <c r="BE93" s="151"/>
      <c r="BF93" s="277"/>
      <c r="BG93" s="154"/>
      <c r="BH93" s="163"/>
      <c r="BI93" s="154"/>
      <c r="BJ93" s="154"/>
      <c r="BK93" s="161"/>
      <c r="BL93" s="161"/>
      <c r="BM93" s="161"/>
      <c r="BN93" s="161"/>
      <c r="BO93" s="161"/>
      <c r="BP93" s="161"/>
      <c r="BQ93" s="161"/>
      <c r="BR93" s="161"/>
      <c r="BS93" s="164"/>
      <c r="BT93" s="152"/>
      <c r="BU93" s="152"/>
      <c r="BV93" s="162"/>
      <c r="BW93" s="171"/>
      <c r="BX93" s="151"/>
      <c r="BY93" s="797"/>
      <c r="BZ93" s="797"/>
      <c r="CA93" s="797"/>
      <c r="CB93" s="797"/>
      <c r="CC93" s="797"/>
      <c r="CD93" s="797"/>
      <c r="CE93" s="797"/>
      <c r="CF93" s="797"/>
      <c r="CG93" s="797"/>
      <c r="CH93" s="797"/>
      <c r="CI93" s="797"/>
      <c r="CJ93" s="797"/>
      <c r="CK93" s="797"/>
      <c r="CL93" s="797"/>
      <c r="CM93" s="797"/>
      <c r="CN93" s="797"/>
      <c r="CO93" s="797"/>
      <c r="CP93" s="797"/>
      <c r="CQ93" s="797"/>
      <c r="CR93" s="797"/>
      <c r="CS93" s="797"/>
      <c r="CT93" s="797"/>
      <c r="CU93" s="797"/>
    </row>
    <row r="94" spans="1:99" ht="15.75" thickBot="1" x14ac:dyDescent="0.3">
      <c r="A94" s="348">
        <f>SUM(((A102+B99)/2)*(B97/(C92*C93)))*3.33</f>
        <v>0.19776613917628433</v>
      </c>
      <c r="B94" s="354">
        <f>SUM(C98-B102)</f>
        <v>133131.53862370533</v>
      </c>
      <c r="C94" s="355">
        <f>SUM(((C92-C93)-2)/2+C95)</f>
        <v>-1.0256759935873561</v>
      </c>
      <c r="D94" s="282">
        <f>SUM(D93*D92)/D90</f>
        <v>0.14494755583333332</v>
      </c>
      <c r="E94" s="282"/>
      <c r="F94" s="267">
        <f>SUM(F93*F92)/F90</f>
        <v>0.41478336200997645</v>
      </c>
      <c r="G94" s="282"/>
      <c r="H94" s="267">
        <f>SUM(H93*H92)/H90</f>
        <v>0.15628168459882544</v>
      </c>
      <c r="I94" s="256">
        <f>(A97+B96)/2</f>
        <v>132167.02488450368</v>
      </c>
      <c r="J94" s="256"/>
      <c r="K94" s="256"/>
      <c r="L94" s="257"/>
      <c r="M94" s="257"/>
      <c r="N94" s="257"/>
      <c r="O94" s="257"/>
      <c r="P94" s="257"/>
      <c r="Q94" s="257"/>
      <c r="R94" s="257"/>
      <c r="S94" s="151"/>
      <c r="T94" s="277"/>
      <c r="U94" s="154"/>
      <c r="V94" s="154"/>
      <c r="W94" s="154"/>
      <c r="X94" s="154"/>
      <c r="Y94" s="161"/>
      <c r="Z94" s="161"/>
      <c r="AA94" s="161"/>
      <c r="AB94" s="161"/>
      <c r="AC94" s="161"/>
      <c r="AD94" s="161"/>
      <c r="AE94" s="161"/>
      <c r="AF94" s="161"/>
      <c r="AG94" s="161"/>
      <c r="AH94" s="152"/>
      <c r="AI94" s="152"/>
      <c r="AJ94" s="174"/>
      <c r="AK94" s="171"/>
      <c r="AL94" s="151"/>
      <c r="AM94" s="348">
        <f>SUM(((AM102+AN99)/2)*(AN97/(AO92*AO93)))*3.33</f>
        <v>0.13612561820914379</v>
      </c>
      <c r="AN94" s="354">
        <f>SUM(AO98-AN102)</f>
        <v>165624.90842024607</v>
      </c>
      <c r="AO94" s="355">
        <f>SUM(((AO92-AO93)-2)/2+AO95)</f>
        <v>-1.0003457476996118</v>
      </c>
      <c r="AP94" s="282">
        <f>SUM(AP93*AP92)/AP90</f>
        <v>2.6384440001012477E-2</v>
      </c>
      <c r="AQ94" s="282"/>
      <c r="AR94" s="267">
        <f>SUM(AR93*AR92)/AR90</f>
        <v>0.37520953402211399</v>
      </c>
      <c r="AS94" s="282"/>
      <c r="AT94" s="267">
        <f>SUM(AT93*AT92)/AT90</f>
        <v>0.23828575335062394</v>
      </c>
      <c r="AU94" s="256">
        <f>(AM97+AN96)/2</f>
        <v>164714.68582557887</v>
      </c>
      <c r="AV94" s="256"/>
      <c r="AW94" s="256"/>
      <c r="AX94" s="257"/>
      <c r="AY94" s="257"/>
      <c r="AZ94" s="257"/>
      <c r="BA94" s="257"/>
      <c r="BB94" s="257"/>
      <c r="BC94" s="257"/>
      <c r="BD94" s="257"/>
      <c r="BE94" s="151"/>
      <c r="BF94" s="277"/>
      <c r="BG94" s="154"/>
      <c r="BH94" s="154"/>
      <c r="BI94" s="154"/>
      <c r="BJ94" s="154"/>
      <c r="BK94" s="161"/>
      <c r="BL94" s="161"/>
      <c r="BM94" s="161"/>
      <c r="BN94" s="161"/>
      <c r="BO94" s="161"/>
      <c r="BP94" s="161"/>
      <c r="BQ94" s="161"/>
      <c r="BR94" s="161"/>
      <c r="BS94" s="161"/>
      <c r="BT94" s="152"/>
      <c r="BU94" s="152"/>
      <c r="BV94" s="174"/>
      <c r="BW94" s="171"/>
      <c r="BX94" s="151"/>
      <c r="BY94" s="797"/>
      <c r="BZ94" s="797"/>
      <c r="CA94" s="797"/>
      <c r="CB94" s="797"/>
      <c r="CC94" s="797"/>
      <c r="CD94" s="797"/>
      <c r="CE94" s="797"/>
      <c r="CF94" s="797"/>
      <c r="CG94" s="797"/>
      <c r="CH94" s="797"/>
      <c r="CI94" s="797"/>
      <c r="CJ94" s="797"/>
      <c r="CK94" s="797"/>
      <c r="CL94" s="797"/>
      <c r="CM94" s="797"/>
      <c r="CN94" s="797"/>
      <c r="CO94" s="797"/>
      <c r="CP94" s="797"/>
      <c r="CQ94" s="797"/>
      <c r="CR94" s="797"/>
      <c r="CS94" s="797"/>
      <c r="CT94" s="797"/>
      <c r="CU94" s="797"/>
    </row>
    <row r="95" spans="1:99" ht="15.75" thickBot="1" x14ac:dyDescent="0.3">
      <c r="A95" s="263">
        <f>SUM(A97+A98+A96)/3+A99*-1</f>
        <v>131884.71020387215</v>
      </c>
      <c r="B95" s="263">
        <f>SUM(C99+B102)</f>
        <v>133132.02921269622</v>
      </c>
      <c r="C95" s="348">
        <f>SUM(E103)</f>
        <v>0</v>
      </c>
      <c r="D95" s="282">
        <f>SUM(D92)</f>
        <v>0.5</v>
      </c>
      <c r="E95" s="356">
        <f t="shared" ref="E95:E102" si="2">E69</f>
        <v>-40216</v>
      </c>
      <c r="F95" s="267">
        <f>SUM(F92)</f>
        <v>0.87113051470078062</v>
      </c>
      <c r="G95" s="282">
        <f>SUM((C89+E89+G89+G96)/4+(D89+F89+H89+H105)/4)/2*G100</f>
        <v>134051.21240882869</v>
      </c>
      <c r="H95" s="267">
        <f>SUM(H92)</f>
        <v>0.48711894914595177</v>
      </c>
      <c r="I95" s="256">
        <f>(A98+B100)/2</f>
        <v>119102.85353763448</v>
      </c>
      <c r="J95" s="256"/>
      <c r="K95" s="283">
        <f>H101</f>
        <v>45</v>
      </c>
      <c r="L95" s="257"/>
      <c r="M95" s="257"/>
      <c r="N95" s="257"/>
      <c r="O95" s="257"/>
      <c r="P95" s="257"/>
      <c r="Q95" s="257"/>
      <c r="R95" s="257"/>
      <c r="S95" s="151"/>
      <c r="T95" s="163"/>
      <c r="U95" s="163"/>
      <c r="V95" s="163"/>
      <c r="W95" s="163"/>
      <c r="X95" s="163"/>
      <c r="Y95" s="152"/>
      <c r="Z95" s="152"/>
      <c r="AA95" s="161"/>
      <c r="AB95" s="161"/>
      <c r="AC95" s="161"/>
      <c r="AD95" s="161"/>
      <c r="AE95" s="161"/>
      <c r="AF95" s="161"/>
      <c r="AG95" s="161"/>
      <c r="AH95" s="161"/>
      <c r="AI95" s="152"/>
      <c r="AJ95" s="149"/>
      <c r="AK95" s="171"/>
      <c r="AL95" s="151"/>
      <c r="AM95" s="263">
        <f>SUM(AM97+AM98+AM96)/3+AM99*-1</f>
        <v>164446.39200609428</v>
      </c>
      <c r="AN95" s="263">
        <f>SUM(AO99+AN102)</f>
        <v>165625.38526978804</v>
      </c>
      <c r="AO95" s="348">
        <f>SUM(AQ103)</f>
        <v>0</v>
      </c>
      <c r="AP95" s="282">
        <f>SUM(AP92)</f>
        <v>0.20000000000436557</v>
      </c>
      <c r="AQ95" s="356">
        <f t="shared" ref="AQ95:AQ102" si="3">AQ69</f>
        <v>-49894</v>
      </c>
      <c r="AR95" s="267">
        <f>SUM(AR92)</f>
        <v>0.82622112536773784</v>
      </c>
      <c r="AS95" s="282">
        <f>SUM((AO89+AQ89+AS89+AS96)/4+(AP89+AR89+AT89+AT105)/4)/2*AS100</f>
        <v>165970.73979487241</v>
      </c>
      <c r="AT95" s="267">
        <f>SUM(AT92)</f>
        <v>0.51263691669737455</v>
      </c>
      <c r="AU95" s="256">
        <f>(AM98+AN100)/2</f>
        <v>153943.55062796539</v>
      </c>
      <c r="AV95" s="256"/>
      <c r="AW95" s="283">
        <f>AT101</f>
        <v>45</v>
      </c>
      <c r="AX95" s="257"/>
      <c r="AY95" s="257"/>
      <c r="AZ95" s="257"/>
      <c r="BA95" s="257"/>
      <c r="BB95" s="257"/>
      <c r="BC95" s="257"/>
      <c r="BD95" s="257"/>
      <c r="BE95" s="151"/>
      <c r="BF95" s="163"/>
      <c r="BG95" s="163"/>
      <c r="BH95" s="163"/>
      <c r="BI95" s="163"/>
      <c r="BJ95" s="163"/>
      <c r="BK95" s="152"/>
      <c r="BL95" s="152"/>
      <c r="BM95" s="161"/>
      <c r="BN95" s="161"/>
      <c r="BO95" s="161"/>
      <c r="BP95" s="161"/>
      <c r="BQ95" s="161"/>
      <c r="BR95" s="161"/>
      <c r="BS95" s="161"/>
      <c r="BT95" s="161"/>
      <c r="BU95" s="152"/>
      <c r="BV95" s="149"/>
      <c r="BW95" s="171"/>
      <c r="BX95" s="151"/>
      <c r="BY95" s="797"/>
      <c r="BZ95" s="797"/>
      <c r="CA95" s="797"/>
      <c r="CB95" s="797"/>
      <c r="CC95" s="797"/>
      <c r="CD95" s="797"/>
      <c r="CE95" s="797"/>
      <c r="CF95" s="797"/>
      <c r="CG95" s="797"/>
      <c r="CH95" s="797"/>
      <c r="CI95" s="797"/>
      <c r="CJ95" s="797"/>
      <c r="CK95" s="797"/>
      <c r="CL95" s="797"/>
      <c r="CM95" s="797"/>
      <c r="CN95" s="797"/>
      <c r="CO95" s="797"/>
      <c r="CP95" s="797"/>
      <c r="CQ95" s="797"/>
      <c r="CR95" s="797"/>
      <c r="CS95" s="797"/>
      <c r="CT95" s="797"/>
      <c r="CU95" s="797"/>
    </row>
    <row r="96" spans="1:99" x14ac:dyDescent="0.25">
      <c r="A96" s="334">
        <f>SUM((C93-B99)/2+C99/2+A99)</f>
        <v>133131.90749741078</v>
      </c>
      <c r="B96" s="348">
        <f>SUM(C92-B99)</f>
        <v>133131.80959418445</v>
      </c>
      <c r="C96" s="348">
        <f>SUM((D94+F94+H94+M99)*C94)/4</f>
        <v>-0.27383720550493906</v>
      </c>
      <c r="D96" s="269">
        <f>SUM(C89+D93)</f>
        <v>133988.28989511167</v>
      </c>
      <c r="E96" s="357">
        <f t="shared" si="2"/>
        <v>777</v>
      </c>
      <c r="F96" s="286">
        <f>SUM(E89+F93)</f>
        <v>133654.55593585249</v>
      </c>
      <c r="G96" s="282">
        <f>SUM(H105/G97)*G98</f>
        <v>133885.80653100097</v>
      </c>
      <c r="H96" s="286">
        <f>SUM(G89+H93)</f>
        <v>133163.46674198628</v>
      </c>
      <c r="I96" s="287">
        <f>C89^0.5</f>
        <v>366.04371323654777</v>
      </c>
      <c r="J96" s="283">
        <f>INT(I96)</f>
        <v>366</v>
      </c>
      <c r="K96" s="256">
        <f>(I96+K95/360)^2</f>
        <v>134079.52655330914</v>
      </c>
      <c r="L96" s="257"/>
      <c r="M96" s="257"/>
      <c r="N96" s="257"/>
      <c r="O96" s="257"/>
      <c r="P96" s="257"/>
      <c r="Q96" s="257"/>
      <c r="R96" s="257"/>
      <c r="S96" s="151"/>
      <c r="T96" s="163"/>
      <c r="U96" s="163"/>
      <c r="V96" s="154"/>
      <c r="W96" s="154"/>
      <c r="X96" s="154"/>
      <c r="Y96" s="161"/>
      <c r="Z96" s="161"/>
      <c r="AA96" s="161"/>
      <c r="AB96" s="161"/>
      <c r="AC96" s="161"/>
      <c r="AD96" s="161"/>
      <c r="AE96" s="161"/>
      <c r="AF96" s="161"/>
      <c r="AG96" s="161"/>
      <c r="AH96" s="161"/>
      <c r="AI96" s="152"/>
      <c r="AJ96" s="149"/>
      <c r="AK96" s="171"/>
      <c r="AL96" s="151"/>
      <c r="AM96" s="334">
        <f>SUM((AO93-AN99)/2+AO99/2+AM99)</f>
        <v>165625.18858795034</v>
      </c>
      <c r="AN96" s="348">
        <f>SUM(AO92-AN99)</f>
        <v>165625.14719076472</v>
      </c>
      <c r="AO96" s="348">
        <f>SUM((AP94+AR94+AT94+AY99)*AO94)/4</f>
        <v>-0.19527770032339445</v>
      </c>
      <c r="AP96" s="269">
        <f>SUM(AO89+AP93)</f>
        <v>165973.1319222</v>
      </c>
      <c r="AQ96" s="357">
        <f t="shared" si="3"/>
        <v>787</v>
      </c>
      <c r="AR96" s="286">
        <f>SUM(AQ89+AR93)</f>
        <v>165865.48850138226</v>
      </c>
      <c r="AS96" s="282">
        <f>SUM(AT105/AS97)*AS98</f>
        <v>165908.77434328877</v>
      </c>
      <c r="AT96" s="286">
        <f>SUM(AS89+AT93)</f>
        <v>165568.43892504391</v>
      </c>
      <c r="AU96" s="287">
        <f>AO89^0.5</f>
        <v>407.39783995500028</v>
      </c>
      <c r="AV96" s="283">
        <f>INT(AU96)</f>
        <v>407</v>
      </c>
      <c r="AW96" s="256">
        <f>(AU96+AW95/360)^2</f>
        <v>166074.86508498876</v>
      </c>
      <c r="AX96" s="257"/>
      <c r="AY96" s="257"/>
      <c r="AZ96" s="257"/>
      <c r="BA96" s="257"/>
      <c r="BB96" s="257"/>
      <c r="BC96" s="257"/>
      <c r="BD96" s="257"/>
      <c r="BE96" s="151"/>
      <c r="BF96" s="163"/>
      <c r="BG96" s="163"/>
      <c r="BH96" s="154"/>
      <c r="BI96" s="154"/>
      <c r="BJ96" s="154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52"/>
      <c r="BV96" s="149"/>
      <c r="BW96" s="171"/>
      <c r="BX96" s="151"/>
      <c r="BY96" s="797"/>
      <c r="BZ96" s="797"/>
      <c r="CA96" s="797"/>
      <c r="CB96" s="797"/>
      <c r="CC96" s="797"/>
      <c r="CD96" s="797"/>
      <c r="CE96" s="797"/>
      <c r="CF96" s="797"/>
      <c r="CG96" s="797"/>
      <c r="CH96" s="797"/>
      <c r="CI96" s="797"/>
      <c r="CJ96" s="797"/>
      <c r="CK96" s="797"/>
      <c r="CL96" s="797"/>
      <c r="CM96" s="797"/>
      <c r="CN96" s="797"/>
      <c r="CO96" s="797"/>
      <c r="CP96" s="797"/>
      <c r="CQ96" s="797"/>
      <c r="CR96" s="797"/>
      <c r="CS96" s="797"/>
      <c r="CT96" s="797"/>
      <c r="CU96" s="797"/>
    </row>
    <row r="97" spans="1:99" x14ac:dyDescent="0.25">
      <c r="A97" s="358">
        <f>SUM((B98++A104+B100+A98)/4)</f>
        <v>131202.24017482292</v>
      </c>
      <c r="B97" s="346">
        <f>SUM(C92+C93)/2^(C96*C103)/2</f>
        <v>114792.17191820452</v>
      </c>
      <c r="C97" s="359">
        <f>SUM(C96*C94)-2/2+C100</f>
        <v>0.78086824783746334</v>
      </c>
      <c r="D97" s="269">
        <f>SUM(D96-D94)</f>
        <v>133988.14494755582</v>
      </c>
      <c r="E97" s="360">
        <f t="shared" si="2"/>
        <v>1785</v>
      </c>
      <c r="F97" s="286">
        <f>SUM(F96-F94)</f>
        <v>133654.14115249048</v>
      </c>
      <c r="G97" s="282">
        <f>SUM(G99/G100)</f>
        <v>132757.28018234734</v>
      </c>
      <c r="H97" s="286">
        <f>SUM(H96-H94)</f>
        <v>133163.31046030167</v>
      </c>
      <c r="I97" s="283">
        <f>J96</f>
        <v>366</v>
      </c>
      <c r="J97" s="256">
        <f>(I97-K95/360)^2</f>
        <v>133864.515625</v>
      </c>
      <c r="K97" s="256">
        <f>(K96+D89)/2</f>
        <v>133140.76327665459</v>
      </c>
      <c r="L97" s="257"/>
      <c r="M97" s="257"/>
      <c r="N97" s="257"/>
      <c r="O97" s="257"/>
      <c r="P97" s="257"/>
      <c r="Q97" s="257"/>
      <c r="R97" s="257"/>
      <c r="S97" s="151"/>
      <c r="T97" s="163"/>
      <c r="U97" s="154"/>
      <c r="V97" s="154"/>
      <c r="W97" s="154"/>
      <c r="X97" s="154"/>
      <c r="Y97" s="161"/>
      <c r="Z97" s="161"/>
      <c r="AA97" s="191"/>
      <c r="AB97" s="161"/>
      <c r="AC97" s="161"/>
      <c r="AD97" s="161"/>
      <c r="AE97" s="161"/>
      <c r="AF97" s="161"/>
      <c r="AG97" s="161"/>
      <c r="AH97" s="152"/>
      <c r="AI97" s="161"/>
      <c r="AJ97" s="162"/>
      <c r="AK97" s="171"/>
      <c r="AL97" s="151"/>
      <c r="AM97" s="358">
        <f>SUM((AN98++AM104+AN100+AM98)/4)</f>
        <v>163804.22446039302</v>
      </c>
      <c r="AN97" s="346">
        <f>SUM(AO92+AO93)/2^(AO96*AO103)/2</f>
        <v>150747.73427794868</v>
      </c>
      <c r="AO97" s="359">
        <f>SUM(AO96*AO94)-2/2+AO100</f>
        <v>0.69534521713906672</v>
      </c>
      <c r="AP97" s="269">
        <f>SUM(AP96-AP94)</f>
        <v>165973.10553776001</v>
      </c>
      <c r="AQ97" s="360">
        <f t="shared" si="3"/>
        <v>613</v>
      </c>
      <c r="AR97" s="286">
        <f>SUM(AR96-AR94)</f>
        <v>165865.11329184825</v>
      </c>
      <c r="AS97" s="282">
        <f>SUM(AS99/AS100)</f>
        <v>165483.77761954226</v>
      </c>
      <c r="AT97" s="286">
        <f>SUM(AT96-AT94)</f>
        <v>165568.20063929056</v>
      </c>
      <c r="AU97" s="283">
        <f>AV96</f>
        <v>407</v>
      </c>
      <c r="AV97" s="256">
        <f>(AU97-AW95/360)^2</f>
        <v>165547.265625</v>
      </c>
      <c r="AW97" s="256">
        <f>(AW96+AP89)/2</f>
        <v>165716.93254249438</v>
      </c>
      <c r="AX97" s="257"/>
      <c r="AY97" s="257"/>
      <c r="AZ97" s="257"/>
      <c r="BA97" s="257"/>
      <c r="BB97" s="257"/>
      <c r="BC97" s="257"/>
      <c r="BD97" s="257"/>
      <c r="BE97" s="151"/>
      <c r="BF97" s="163"/>
      <c r="BG97" s="154"/>
      <c r="BH97" s="154"/>
      <c r="BI97" s="154"/>
      <c r="BJ97" s="154"/>
      <c r="BK97" s="161"/>
      <c r="BL97" s="161"/>
      <c r="BM97" s="191"/>
      <c r="BN97" s="161"/>
      <c r="BO97" s="161"/>
      <c r="BP97" s="161"/>
      <c r="BQ97" s="161"/>
      <c r="BR97" s="161"/>
      <c r="BS97" s="161"/>
      <c r="BT97" s="152"/>
      <c r="BU97" s="161"/>
      <c r="BV97" s="162"/>
      <c r="BW97" s="171"/>
      <c r="BX97" s="151"/>
      <c r="BY97" s="797"/>
      <c r="BZ97" s="797"/>
      <c r="CA97" s="797"/>
      <c r="CB97" s="797"/>
      <c r="CC97" s="797"/>
      <c r="CD97" s="797"/>
      <c r="CE97" s="797"/>
      <c r="CF97" s="797"/>
      <c r="CG97" s="797"/>
      <c r="CH97" s="797"/>
      <c r="CI97" s="797"/>
      <c r="CJ97" s="797"/>
      <c r="CK97" s="797"/>
      <c r="CL97" s="797"/>
      <c r="CM97" s="797"/>
      <c r="CN97" s="797"/>
      <c r="CO97" s="797"/>
      <c r="CP97" s="797"/>
      <c r="CQ97" s="797"/>
      <c r="CR97" s="797"/>
      <c r="CS97" s="797"/>
      <c r="CT97" s="797"/>
      <c r="CU97" s="797"/>
    </row>
    <row r="98" spans="1:99" x14ac:dyDescent="0.25">
      <c r="A98" s="358">
        <f>(B94+B95+B96+B97+B98+B100+B101)/7</f>
        <v>131320.16110707566</v>
      </c>
      <c r="B98" s="346">
        <f>SUM(C92+C93)/2^(C96*C97)/2</f>
        <v>154401.39857157855</v>
      </c>
      <c r="C98" s="348">
        <f>SUM(C92+C93)/2*(C92/C93)</f>
        <v>133131.73256621358</v>
      </c>
      <c r="D98" s="269">
        <f>SUM(D99+D94)</f>
        <v>132202.13994755584</v>
      </c>
      <c r="E98" s="360">
        <f t="shared" si="2"/>
        <v>433</v>
      </c>
      <c r="F98" s="286">
        <f>SUM(F99+F94)</f>
        <v>133220.51072432403</v>
      </c>
      <c r="G98" s="282">
        <f>SUM(H105+G101+G99)/3</f>
        <v>133508.92380913702</v>
      </c>
      <c r="H98" s="286">
        <f>SUM(H99+H94)</f>
        <v>133126.9361904175</v>
      </c>
      <c r="I98" s="256">
        <f>(D89^0.5)</f>
        <v>363.59592957017549</v>
      </c>
      <c r="J98" s="256">
        <f>INT(I98)</f>
        <v>363</v>
      </c>
      <c r="K98" s="256">
        <f>(J98+K95/360)^2</f>
        <v>131859.765625</v>
      </c>
      <c r="L98" s="361">
        <f>SUM((((L99*0.6)-2)/-2))-E95</f>
        <v>0.80000000000291038</v>
      </c>
      <c r="M98" s="292">
        <f>SUM(((L100*L98)+I91)/2)</f>
        <v>0.43989511166812184</v>
      </c>
      <c r="N98" s="257"/>
      <c r="O98" s="257"/>
      <c r="P98" s="257"/>
      <c r="Q98" s="257"/>
      <c r="R98" s="257"/>
      <c r="S98" s="151"/>
      <c r="T98" s="163"/>
      <c r="U98" s="154"/>
      <c r="V98" s="154"/>
      <c r="W98" s="163"/>
      <c r="X98" s="163"/>
      <c r="Y98" s="191"/>
      <c r="Z98" s="191"/>
      <c r="AA98" s="191"/>
      <c r="AB98" s="191"/>
      <c r="AC98" s="191"/>
      <c r="AD98" s="191"/>
      <c r="AE98" s="191"/>
      <c r="AF98" s="191"/>
      <c r="AG98" s="191"/>
      <c r="AH98" s="152"/>
      <c r="AI98" s="152"/>
      <c r="AJ98" s="149"/>
      <c r="AK98" s="171"/>
      <c r="AL98" s="151"/>
      <c r="AM98" s="358">
        <f>(AN94+AN95+AN96+AN97+AN98+AN100+AN101)/7</f>
        <v>163909.88560563157</v>
      </c>
      <c r="AN98" s="346">
        <f>SUM(AO92+AO93)/2^(AO96*AO97)/2</f>
        <v>181970.8229700813</v>
      </c>
      <c r="AO98" s="348">
        <f>SUM(AO92+AO93)/2*(AO92/AO93)</f>
        <v>165625.14615352164</v>
      </c>
      <c r="AP98" s="269">
        <f>SUM(AP99+AP94)</f>
        <v>165359.02438443998</v>
      </c>
      <c r="AQ98" s="360">
        <f t="shared" si="3"/>
        <v>235</v>
      </c>
      <c r="AR98" s="286">
        <f>SUM(AR99+AR94)</f>
        <v>165629.72374023881</v>
      </c>
      <c r="AS98" s="282">
        <f>SUM(AT105+AS101+AS99)/3</f>
        <v>165767.02803350973</v>
      </c>
      <c r="AT98" s="286">
        <f>SUM(AT99+AT94)</f>
        <v>165568.44781952287</v>
      </c>
      <c r="AU98" s="256">
        <f>(AP89^0.5)</f>
        <v>406.64357857957134</v>
      </c>
      <c r="AV98" s="256">
        <f>INT(AU98)</f>
        <v>406</v>
      </c>
      <c r="AW98" s="256">
        <f>(AV98+AW95/360)^2</f>
        <v>164937.515625</v>
      </c>
      <c r="AX98" s="361">
        <f>SUM((((AX99*0.6)-2)/-2))-AQ95</f>
        <v>0.5</v>
      </c>
      <c r="AY98" s="292">
        <f>SUM(((AX100*AX98)+AU91)/2)</f>
        <v>0.28192220000000001</v>
      </c>
      <c r="AZ98" s="257"/>
      <c r="BA98" s="257"/>
      <c r="BB98" s="257"/>
      <c r="BC98" s="257"/>
      <c r="BD98" s="257"/>
      <c r="BE98" s="151"/>
      <c r="BF98" s="163"/>
      <c r="BG98" s="154"/>
      <c r="BH98" s="154"/>
      <c r="BI98" s="163"/>
      <c r="BJ98" s="163"/>
      <c r="BK98" s="191"/>
      <c r="BL98" s="191"/>
      <c r="BM98" s="191"/>
      <c r="BN98" s="191"/>
      <c r="BO98" s="191"/>
      <c r="BP98" s="191"/>
      <c r="BQ98" s="191"/>
      <c r="BR98" s="191"/>
      <c r="BS98" s="191"/>
      <c r="BT98" s="152"/>
      <c r="BU98" s="152"/>
      <c r="BV98" s="149"/>
      <c r="BW98" s="171"/>
      <c r="BX98" s="151"/>
      <c r="BY98" s="797"/>
      <c r="BZ98" s="797"/>
      <c r="CA98" s="797"/>
      <c r="CB98" s="797"/>
      <c r="CC98" s="797"/>
      <c r="CD98" s="797"/>
      <c r="CE98" s="797"/>
      <c r="CF98" s="797"/>
      <c r="CG98" s="797"/>
      <c r="CH98" s="797"/>
      <c r="CI98" s="797"/>
      <c r="CJ98" s="797"/>
      <c r="CK98" s="797"/>
      <c r="CL98" s="797"/>
      <c r="CM98" s="797"/>
      <c r="CN98" s="797"/>
      <c r="CO98" s="797"/>
      <c r="CP98" s="797"/>
      <c r="CQ98" s="797"/>
      <c r="CR98" s="797"/>
      <c r="CS98" s="797"/>
      <c r="CT98" s="797"/>
      <c r="CU98" s="797"/>
    </row>
    <row r="99" spans="1:99" ht="15.75" thickBot="1" x14ac:dyDescent="0.3">
      <c r="A99" s="348">
        <f>SUM(((A102+B99)/2)*(B97/(C92*C93)))</f>
        <v>5.9389230983869168E-2</v>
      </c>
      <c r="B99" s="346">
        <f>SUM(C92-C93)</f>
        <v>-5.1351987174712121E-2</v>
      </c>
      <c r="C99" s="348">
        <f>SUM(C93+C92)/2*(C93/C92)</f>
        <v>133131.83527018796</v>
      </c>
      <c r="D99" s="269">
        <f>SUM(D89-(D95/100))</f>
        <v>132201.995</v>
      </c>
      <c r="E99" s="360">
        <f t="shared" si="2"/>
        <v>36</v>
      </c>
      <c r="F99" s="286">
        <f>SUM(F89-(F95/100))</f>
        <v>133220.09594096203</v>
      </c>
      <c r="G99" s="282">
        <f>SUM(H105+G101)/2</f>
        <v>133508.92380913702</v>
      </c>
      <c r="H99" s="286">
        <f>SUM(H89-H95/100)</f>
        <v>133126.77990873289</v>
      </c>
      <c r="I99" s="295">
        <f>J98</f>
        <v>363</v>
      </c>
      <c r="J99" s="256">
        <f>(I99+K95/360)^2</f>
        <v>131859.765625</v>
      </c>
      <c r="K99" s="256">
        <f>(K97+K98+C89)/3</f>
        <v>132996.17630055154</v>
      </c>
      <c r="L99" s="292">
        <f>((J100+K100)/2)</f>
        <v>134054</v>
      </c>
      <c r="M99" s="292">
        <f>(M98*L98)/L100</f>
        <v>0.35191608933577773</v>
      </c>
      <c r="N99" s="257"/>
      <c r="O99" s="257"/>
      <c r="P99" s="257"/>
      <c r="Q99" s="257"/>
      <c r="R99" s="257"/>
      <c r="S99" s="151"/>
      <c r="T99" s="163"/>
      <c r="U99" s="154"/>
      <c r="V99" s="154"/>
      <c r="W99" s="163"/>
      <c r="X99" s="163"/>
      <c r="Y99" s="191"/>
      <c r="Z99" s="149"/>
      <c r="AA99" s="191"/>
      <c r="AB99" s="191"/>
      <c r="AC99" s="191"/>
      <c r="AD99" s="191"/>
      <c r="AE99" s="191"/>
      <c r="AF99" s="191"/>
      <c r="AG99" s="191"/>
      <c r="AH99" s="152"/>
      <c r="AI99" s="152"/>
      <c r="AJ99" s="162"/>
      <c r="AK99" s="171"/>
      <c r="AL99" s="151"/>
      <c r="AM99" s="348">
        <f>SUM(((AM102+AN99)/2)*(AN97/(AO92*AO93)))</f>
        <v>4.0878564026769905E-2</v>
      </c>
      <c r="AN99" s="346">
        <f>SUM(AO92-AO93)</f>
        <v>-6.9149539922364056E-4</v>
      </c>
      <c r="AO99" s="348">
        <f>SUM(AO93+AO92)/2*(AO93/AO92)</f>
        <v>165625.14753651246</v>
      </c>
      <c r="AP99" s="269">
        <f>SUM(AP89-(AP95/100))</f>
        <v>165358.99799999999</v>
      </c>
      <c r="AQ99" s="360">
        <f t="shared" si="3"/>
        <v>0</v>
      </c>
      <c r="AR99" s="286">
        <f>SUM(AR89-(AR95/100))</f>
        <v>165629.3485307048</v>
      </c>
      <c r="AS99" s="282">
        <f>SUM(AT105+AS101)/2</f>
        <v>165767.02803350973</v>
      </c>
      <c r="AT99" s="286">
        <f>SUM(AT89-AT95/100)</f>
        <v>165568.20953376952</v>
      </c>
      <c r="AU99" s="295">
        <f>AV98</f>
        <v>406</v>
      </c>
      <c r="AV99" s="256">
        <f>(AU99+AW95/360)^2</f>
        <v>164937.515625</v>
      </c>
      <c r="AW99" s="256">
        <f>(AW97+AW98+AO89)/3</f>
        <v>165542.48272249813</v>
      </c>
      <c r="AX99" s="292">
        <f>((AV100+AW100)/2)</f>
        <v>166315</v>
      </c>
      <c r="AY99" s="292">
        <f>(AY98*AX98)/AX100</f>
        <v>0.14096110000000001</v>
      </c>
      <c r="AZ99" s="257"/>
      <c r="BA99" s="257"/>
      <c r="BB99" s="257"/>
      <c r="BC99" s="257"/>
      <c r="BD99" s="257"/>
      <c r="BE99" s="151"/>
      <c r="BF99" s="163"/>
      <c r="BG99" s="154"/>
      <c r="BH99" s="154"/>
      <c r="BI99" s="163"/>
      <c r="BJ99" s="163"/>
      <c r="BK99" s="191"/>
      <c r="BL99" s="149"/>
      <c r="BM99" s="191"/>
      <c r="BN99" s="191"/>
      <c r="BO99" s="191"/>
      <c r="BP99" s="191"/>
      <c r="BQ99" s="191"/>
      <c r="BR99" s="191"/>
      <c r="BS99" s="191"/>
      <c r="BT99" s="152"/>
      <c r="BU99" s="152"/>
      <c r="BV99" s="162"/>
      <c r="BW99" s="171"/>
      <c r="BX99" s="151"/>
      <c r="BY99" s="797"/>
      <c r="BZ99" s="797"/>
      <c r="CA99" s="797"/>
      <c r="CB99" s="797"/>
      <c r="CC99" s="797"/>
      <c r="CD99" s="797"/>
      <c r="CE99" s="797"/>
      <c r="CF99" s="797"/>
      <c r="CG99" s="797"/>
      <c r="CH99" s="797"/>
      <c r="CI99" s="797"/>
      <c r="CJ99" s="797"/>
      <c r="CK99" s="797"/>
      <c r="CL99" s="797"/>
      <c r="CM99" s="797"/>
      <c r="CN99" s="797"/>
      <c r="CO99" s="797"/>
      <c r="CP99" s="797"/>
      <c r="CQ99" s="797"/>
      <c r="CR99" s="797"/>
      <c r="CS99" s="797"/>
      <c r="CT99" s="797"/>
      <c r="CU99" s="797"/>
    </row>
    <row r="100" spans="1:99" ht="15.75" thickBot="1" x14ac:dyDescent="0.3">
      <c r="A100" s="362">
        <f>SUM((A98-C89)*0.6-E90/B90)*F100</f>
        <v>1600.703350994813</v>
      </c>
      <c r="B100" s="354">
        <f>SUM(B97+B96)/2*(B97/B96)</f>
        <v>106885.54596819328</v>
      </c>
      <c r="C100" s="263">
        <v>1.5</v>
      </c>
      <c r="D100" s="363">
        <v>0</v>
      </c>
      <c r="E100" s="364">
        <f t="shared" si="2"/>
        <v>-39928</v>
      </c>
      <c r="F100" s="365">
        <f>F74</f>
        <v>-1</v>
      </c>
      <c r="G100" s="282">
        <f>SUM((C89+E89+G89)/3)/((D89+F89+H89)/3)</f>
        <v>1.0056617883837125</v>
      </c>
      <c r="H100" s="366"/>
      <c r="I100" s="256">
        <f>(J99+K99+K98)/3</f>
        <v>132238.56918351716</v>
      </c>
      <c r="J100" s="367">
        <f>J74</f>
        <v>134443</v>
      </c>
      <c r="K100" s="367">
        <f>K74</f>
        <v>133665</v>
      </c>
      <c r="L100" s="368">
        <f>(J100-K100)-E96</f>
        <v>1</v>
      </c>
      <c r="M100" s="257"/>
      <c r="N100" s="257"/>
      <c r="O100" s="257"/>
      <c r="P100" s="257"/>
      <c r="Q100" s="257"/>
      <c r="R100" s="257"/>
      <c r="S100" s="151"/>
      <c r="T100" s="163"/>
      <c r="U100" s="154"/>
      <c r="V100" s="154"/>
      <c r="W100" s="163"/>
      <c r="X100" s="163"/>
      <c r="Y100" s="149"/>
      <c r="Z100" s="149"/>
      <c r="AA100" s="191"/>
      <c r="AB100" s="149"/>
      <c r="AC100" s="149"/>
      <c r="AD100" s="149"/>
      <c r="AE100" s="149"/>
      <c r="AF100" s="149"/>
      <c r="AG100" s="191"/>
      <c r="AH100" s="152"/>
      <c r="AI100" s="152"/>
      <c r="AJ100" s="162"/>
      <c r="AK100" s="171"/>
      <c r="AL100" s="151"/>
      <c r="AM100" s="362">
        <f>SUM((AM98-AO89)*0.6-AQ90/AN90)*AR100</f>
        <v>1237.8686488289588</v>
      </c>
      <c r="AN100" s="354">
        <f>SUM(AN97+AN96)/2*(AN97/AN96)</f>
        <v>143977.21565029921</v>
      </c>
      <c r="AO100" s="263">
        <v>1.5</v>
      </c>
      <c r="AP100" s="363">
        <v>0</v>
      </c>
      <c r="AQ100" s="364">
        <f t="shared" si="3"/>
        <v>-49699</v>
      </c>
      <c r="AR100" s="365">
        <f>AR74</f>
        <v>-1</v>
      </c>
      <c r="AS100" s="282">
        <f>SUM((AO89+AQ89+AS89)/3)/((AP89+AR89+AT89)/3)</f>
        <v>1.0017116506405763</v>
      </c>
      <c r="AT100" s="366"/>
      <c r="AU100" s="256">
        <f>(AV99+AW99+AW98)/3</f>
        <v>165139.17132416603</v>
      </c>
      <c r="AV100" s="367">
        <f>AV74</f>
        <v>166709</v>
      </c>
      <c r="AW100" s="367">
        <f>AW74</f>
        <v>165921</v>
      </c>
      <c r="AX100" s="368">
        <f>(AV100-AW100)-AQ96</f>
        <v>1</v>
      </c>
      <c r="AY100" s="257"/>
      <c r="AZ100" s="257"/>
      <c r="BA100" s="257"/>
      <c r="BB100" s="257"/>
      <c r="BC100" s="257"/>
      <c r="BD100" s="257"/>
      <c r="BE100" s="151"/>
      <c r="BF100" s="163"/>
      <c r="BG100" s="154"/>
      <c r="BH100" s="154"/>
      <c r="BI100" s="163"/>
      <c r="BJ100" s="163"/>
      <c r="BK100" s="149"/>
      <c r="BL100" s="149"/>
      <c r="BM100" s="191"/>
      <c r="BN100" s="149"/>
      <c r="BO100" s="149"/>
      <c r="BP100" s="149"/>
      <c r="BQ100" s="149"/>
      <c r="BR100" s="149"/>
      <c r="BS100" s="191"/>
      <c r="BT100" s="152"/>
      <c r="BU100" s="152"/>
      <c r="BV100" s="162"/>
      <c r="BW100" s="171"/>
      <c r="BX100" s="151"/>
      <c r="BY100" s="797"/>
      <c r="BZ100" s="797"/>
      <c r="CA100" s="797"/>
      <c r="CB100" s="797"/>
      <c r="CC100" s="797"/>
      <c r="CD100" s="797"/>
      <c r="CE100" s="797"/>
      <c r="CF100" s="797"/>
      <c r="CG100" s="797"/>
      <c r="CH100" s="797"/>
      <c r="CI100" s="797"/>
      <c r="CJ100" s="797"/>
      <c r="CK100" s="797"/>
      <c r="CL100" s="797"/>
      <c r="CM100" s="797"/>
      <c r="CN100" s="797"/>
      <c r="CO100" s="797"/>
      <c r="CP100" s="797"/>
      <c r="CQ100" s="797"/>
      <c r="CR100" s="797"/>
      <c r="CS100" s="797"/>
      <c r="CT100" s="797"/>
      <c r="CU100" s="797"/>
    </row>
    <row r="101" spans="1:99" ht="15.75" thickBot="1" x14ac:dyDescent="0.3">
      <c r="A101" s="348">
        <f>(K92+A97)/2</f>
        <v>131236.29391553646</v>
      </c>
      <c r="B101" s="354">
        <f>SUM(B97+B96)/2*(B96/B97)</f>
        <v>143766.63386096741</v>
      </c>
      <c r="C101" s="348">
        <v>1</v>
      </c>
      <c r="D101" s="363">
        <v>0</v>
      </c>
      <c r="E101" s="364">
        <f t="shared" si="2"/>
        <v>-40031</v>
      </c>
      <c r="F101" s="305">
        <f>(A97*2+A89+B92)/4</f>
        <v>131634.73405736094</v>
      </c>
      <c r="G101" s="306">
        <f>SUM(H105*G100)</f>
        <v>133885.80653100094</v>
      </c>
      <c r="H101" s="307">
        <f>H75</f>
        <v>45</v>
      </c>
      <c r="I101" s="369">
        <f>I75</f>
        <v>134149</v>
      </c>
      <c r="J101" s="369">
        <f>J75</f>
        <v>133357</v>
      </c>
      <c r="K101" s="309" t="s">
        <v>49</v>
      </c>
      <c r="L101" s="256">
        <v>0.5</v>
      </c>
      <c r="M101" s="310">
        <f>D89</f>
        <v>132202</v>
      </c>
      <c r="N101" s="310">
        <f>C89</f>
        <v>133988</v>
      </c>
      <c r="O101" s="311">
        <f>B89</f>
        <v>131296.76511527138</v>
      </c>
      <c r="P101" s="311">
        <f>A89</f>
        <v>131213.59142172744</v>
      </c>
      <c r="Q101" s="257"/>
      <c r="R101" s="257"/>
      <c r="S101" s="151"/>
      <c r="T101" s="163"/>
      <c r="U101" s="154"/>
      <c r="V101" s="154"/>
      <c r="W101" s="154"/>
      <c r="X101" s="154"/>
      <c r="Y101" s="191"/>
      <c r="Z101" s="149"/>
      <c r="AA101" s="314"/>
      <c r="AB101" s="149"/>
      <c r="AC101" s="149"/>
      <c r="AD101" s="149"/>
      <c r="AE101" s="149"/>
      <c r="AF101" s="149"/>
      <c r="AG101" s="191"/>
      <c r="AH101" s="152"/>
      <c r="AI101" s="152"/>
      <c r="AJ101" s="163"/>
      <c r="AK101" s="171"/>
      <c r="AL101" s="151"/>
      <c r="AM101" s="348">
        <f>(AW92+AM97)/2</f>
        <v>163838.69230832151</v>
      </c>
      <c r="AN101" s="354">
        <f>SUM(AN97+AN96)/2*(AN96/AN97)</f>
        <v>173797.98546029281</v>
      </c>
      <c r="AO101" s="348">
        <v>1</v>
      </c>
      <c r="AP101" s="363">
        <v>0</v>
      </c>
      <c r="AQ101" s="364">
        <f t="shared" si="3"/>
        <v>-49724</v>
      </c>
      <c r="AR101" s="305">
        <f>(AM97*2+AM89+AN92)/4</f>
        <v>164142.9792295706</v>
      </c>
      <c r="AS101" s="306">
        <f>SUM(AT105*AS100)</f>
        <v>165908.77434328877</v>
      </c>
      <c r="AT101" s="307">
        <f>AT75</f>
        <v>45</v>
      </c>
      <c r="AU101" s="369">
        <f>AU75</f>
        <v>165975</v>
      </c>
      <c r="AV101" s="369">
        <f>AV75</f>
        <v>165605</v>
      </c>
      <c r="AW101" s="309" t="s">
        <v>49</v>
      </c>
      <c r="AX101" s="256">
        <v>0.5</v>
      </c>
      <c r="AY101" s="310">
        <f>AP89</f>
        <v>165359</v>
      </c>
      <c r="AZ101" s="310">
        <f>AO89</f>
        <v>165973</v>
      </c>
      <c r="BA101" s="311">
        <f>AN89</f>
        <v>163886.90011406798</v>
      </c>
      <c r="BB101" s="311">
        <f>AM89</f>
        <v>163815.71374303583</v>
      </c>
      <c r="BC101" s="257"/>
      <c r="BD101" s="257"/>
      <c r="BE101" s="151"/>
      <c r="BF101" s="163"/>
      <c r="BG101" s="154"/>
      <c r="BH101" s="154"/>
      <c r="BI101" s="154"/>
      <c r="BJ101" s="154"/>
      <c r="BK101" s="191"/>
      <c r="BL101" s="149"/>
      <c r="BM101" s="314"/>
      <c r="BN101" s="149"/>
      <c r="BO101" s="149"/>
      <c r="BP101" s="149"/>
      <c r="BQ101" s="149"/>
      <c r="BR101" s="149"/>
      <c r="BS101" s="191"/>
      <c r="BT101" s="152"/>
      <c r="BU101" s="152"/>
      <c r="BV101" s="163"/>
      <c r="BW101" s="171"/>
      <c r="BX101" s="151"/>
      <c r="BY101" s="797"/>
      <c r="BZ101" s="797"/>
      <c r="CA101" s="797"/>
      <c r="CB101" s="797"/>
      <c r="CC101" s="797"/>
      <c r="CD101" s="797"/>
      <c r="CE101" s="797"/>
      <c r="CF101" s="797"/>
      <c r="CG101" s="797"/>
      <c r="CH101" s="797"/>
      <c r="CI101" s="797"/>
      <c r="CJ101" s="797"/>
      <c r="CK101" s="797"/>
      <c r="CL101" s="797"/>
      <c r="CM101" s="797"/>
      <c r="CN101" s="797"/>
      <c r="CO101" s="797"/>
      <c r="CP101" s="797"/>
      <c r="CQ101" s="797"/>
      <c r="CR101" s="797"/>
      <c r="CS101" s="797"/>
      <c r="CT101" s="797"/>
      <c r="CU101" s="797"/>
    </row>
    <row r="102" spans="1:99" x14ac:dyDescent="0.25">
      <c r="A102" s="348">
        <f>SUM(C92+C93)/2-B97</f>
        <v>18339.611999986344</v>
      </c>
      <c r="B102" s="346">
        <f>SUM(C102+B99)/2</f>
        <v>0.19394250825324469</v>
      </c>
      <c r="C102" s="370">
        <f>SUM(C101+B99)/2*(C99/B101)</f>
        <v>0.4392370036812015</v>
      </c>
      <c r="D102" s="363">
        <v>0</v>
      </c>
      <c r="E102" s="364">
        <f t="shared" si="2"/>
        <v>-39943</v>
      </c>
      <c r="F102" s="305">
        <f>(A98*2+B92+B89)/4</f>
        <v>131714.4879468733</v>
      </c>
      <c r="G102" s="306">
        <f>SUM(G103*G105)/H102</f>
        <v>44.875138786722722</v>
      </c>
      <c r="H102" s="312">
        <v>45</v>
      </c>
      <c r="I102" s="369">
        <f>I76</f>
        <v>134323</v>
      </c>
      <c r="J102" s="369">
        <f>J76</f>
        <v>133323</v>
      </c>
      <c r="K102" s="313" t="s">
        <v>50</v>
      </c>
      <c r="L102" s="256">
        <v>2</v>
      </c>
      <c r="M102" s="257"/>
      <c r="N102" s="257"/>
      <c r="O102" s="257"/>
      <c r="P102" s="257"/>
      <c r="Q102" s="257"/>
      <c r="R102" s="257"/>
      <c r="S102" s="151"/>
      <c r="T102" s="163"/>
      <c r="U102" s="163"/>
      <c r="V102" s="163"/>
      <c r="W102" s="154"/>
      <c r="X102" s="163"/>
      <c r="Y102" s="191"/>
      <c r="Z102" s="191"/>
      <c r="AA102" s="149"/>
      <c r="AB102" s="149"/>
      <c r="AC102" s="149"/>
      <c r="AD102" s="149"/>
      <c r="AE102" s="149"/>
      <c r="AF102" s="149"/>
      <c r="AG102" s="191"/>
      <c r="AH102" s="152"/>
      <c r="AI102" s="152"/>
      <c r="AJ102" s="248"/>
      <c r="AK102" s="171"/>
      <c r="AL102" s="151"/>
      <c r="AM102" s="348">
        <f>SUM(AO92+AO93)/2-AN97</f>
        <v>14877.412567068357</v>
      </c>
      <c r="AN102" s="346">
        <f>SUM(AO102+AN99)/2</f>
        <v>0.2377332755851676</v>
      </c>
      <c r="AO102" s="370">
        <f>SUM(AO101+AN99)/2*(AO99/AN101)</f>
        <v>0.47615804656955885</v>
      </c>
      <c r="AP102" s="363">
        <v>0</v>
      </c>
      <c r="AQ102" s="364">
        <f t="shared" si="3"/>
        <v>-49670</v>
      </c>
      <c r="AR102" s="305">
        <f>(AM98*2+AN92+AN89)/4</f>
        <v>164213.60639494791</v>
      </c>
      <c r="AS102" s="306">
        <f>SUM(AS103*AS105)/AT102</f>
        <v>39.247258464331225</v>
      </c>
      <c r="AT102" s="312">
        <v>45</v>
      </c>
      <c r="AU102" s="369">
        <f>AU76</f>
        <v>166027</v>
      </c>
      <c r="AV102" s="369">
        <f>AV76</f>
        <v>165662</v>
      </c>
      <c r="AW102" s="313" t="s">
        <v>50</v>
      </c>
      <c r="AX102" s="256">
        <v>2</v>
      </c>
      <c r="AY102" s="257"/>
      <c r="AZ102" s="257"/>
      <c r="BA102" s="257"/>
      <c r="BB102" s="257"/>
      <c r="BC102" s="257"/>
      <c r="BD102" s="257"/>
      <c r="BE102" s="151"/>
      <c r="BF102" s="163"/>
      <c r="BG102" s="163"/>
      <c r="BH102" s="163"/>
      <c r="BI102" s="154"/>
      <c r="BJ102" s="163"/>
      <c r="BK102" s="191"/>
      <c r="BL102" s="191"/>
      <c r="BM102" s="149"/>
      <c r="BN102" s="149"/>
      <c r="BO102" s="149"/>
      <c r="BP102" s="149"/>
      <c r="BQ102" s="149"/>
      <c r="BR102" s="149"/>
      <c r="BS102" s="191"/>
      <c r="BT102" s="152"/>
      <c r="BU102" s="152"/>
      <c r="BV102" s="248"/>
      <c r="BW102" s="171"/>
      <c r="BX102" s="151"/>
      <c r="BY102" s="797"/>
      <c r="BZ102" s="797"/>
      <c r="CA102" s="797"/>
      <c r="CB102" s="797"/>
      <c r="CC102" s="797"/>
      <c r="CD102" s="797"/>
      <c r="CE102" s="797"/>
      <c r="CF102" s="797"/>
      <c r="CG102" s="797"/>
      <c r="CH102" s="797"/>
      <c r="CI102" s="797"/>
      <c r="CJ102" s="797"/>
      <c r="CK102" s="797"/>
      <c r="CL102" s="797"/>
      <c r="CM102" s="797"/>
      <c r="CN102" s="797"/>
      <c r="CO102" s="797"/>
      <c r="CP102" s="797"/>
      <c r="CQ102" s="797"/>
      <c r="CR102" s="797"/>
      <c r="CS102" s="797"/>
      <c r="CT102" s="797"/>
      <c r="CU102" s="797"/>
    </row>
    <row r="103" spans="1:99" x14ac:dyDescent="0.25">
      <c r="A103" s="348">
        <f>SUM((C93-B99)+C99)/2</f>
        <v>133131.84810817981</v>
      </c>
      <c r="B103" s="348"/>
      <c r="C103" s="317">
        <f>SUM(C97*-1)</f>
        <v>-0.78086824783746334</v>
      </c>
      <c r="D103" s="318">
        <f>SUM(C96*-1+C94)/-2</f>
        <v>0.3759193940412085</v>
      </c>
      <c r="E103" s="371">
        <v>0</v>
      </c>
      <c r="F103" s="372">
        <f>SUM(D92+F92)/(F92+H92)*((D92+F92+H92)/3)</f>
        <v>0.6252907661971121</v>
      </c>
      <c r="G103" s="317">
        <f>SUM(D90+F90)/(F90+H90)*(D90+F90+H90)/3*F103/H102</f>
        <v>1.5311423572099813E-2</v>
      </c>
      <c r="H103" s="318">
        <f>SUM(H106/H105)*H104</f>
        <v>133132.06502250361</v>
      </c>
      <c r="I103" s="319">
        <f>(J102+I100+Q109)/3</f>
        <v>133126.78477992237</v>
      </c>
      <c r="J103" s="319">
        <v>1</v>
      </c>
      <c r="K103" s="319">
        <f>(B92+B89+A89+B89)/4</f>
        <v>131681.99652758517</v>
      </c>
      <c r="L103" s="320"/>
      <c r="M103" s="257"/>
      <c r="N103" s="257"/>
      <c r="O103" s="257"/>
      <c r="P103" s="257"/>
      <c r="Q103" s="257"/>
      <c r="R103" s="257"/>
      <c r="S103" s="151"/>
      <c r="T103" s="163"/>
      <c r="U103" s="163"/>
      <c r="V103" s="154"/>
      <c r="W103" s="154"/>
      <c r="X103" s="154"/>
      <c r="Y103" s="149"/>
      <c r="Z103" s="149"/>
      <c r="AA103" s="149"/>
      <c r="AB103" s="149"/>
      <c r="AC103" s="149"/>
      <c r="AD103" s="149"/>
      <c r="AE103" s="149"/>
      <c r="AF103" s="149"/>
      <c r="AG103" s="191"/>
      <c r="AH103" s="152"/>
      <c r="AI103" s="152"/>
      <c r="AJ103" s="322"/>
      <c r="AK103" s="171"/>
      <c r="AL103" s="151"/>
      <c r="AM103" s="348">
        <f>SUM((AO93-AN99)+AO99)/2</f>
        <v>165625.14770938631</v>
      </c>
      <c r="AN103" s="348"/>
      <c r="AO103" s="317">
        <f>SUM(AO97*-1)</f>
        <v>-0.69534521713906672</v>
      </c>
      <c r="AP103" s="318">
        <f>SUM(AO96*-1+AO94)/-2</f>
        <v>0.4025340236881087</v>
      </c>
      <c r="AQ103" s="371">
        <v>0</v>
      </c>
      <c r="AR103" s="372">
        <f>SUM(AP92+AR92)/(AR92+AT92)*((AP92+AR92+AT92)/3)</f>
        <v>0.39317303306346352</v>
      </c>
      <c r="AS103" s="317">
        <f>SUM(AP90+AR90)/(AR90+AT90)*(AP90+AR90+AT90)/3*AR103/AT102</f>
        <v>1.07396674708888E-2</v>
      </c>
      <c r="AT103" s="318">
        <f>SUM(AT106/AT105)*AT104</f>
        <v>165625.29228009997</v>
      </c>
      <c r="AU103" s="319">
        <f>(AV102+AU100+BC109)/3</f>
        <v>165568.21466013868</v>
      </c>
      <c r="AV103" s="319">
        <v>1</v>
      </c>
      <c r="AW103" s="319">
        <f>(AN92+AN89+AM89+AN89)/4</f>
        <v>164184.31705640806</v>
      </c>
      <c r="AX103" s="320"/>
      <c r="AY103" s="257"/>
      <c r="AZ103" s="257"/>
      <c r="BA103" s="257"/>
      <c r="BB103" s="257"/>
      <c r="BC103" s="257"/>
      <c r="BD103" s="257"/>
      <c r="BE103" s="151"/>
      <c r="BF103" s="163"/>
      <c r="BG103" s="163"/>
      <c r="BH103" s="154"/>
      <c r="BI103" s="154"/>
      <c r="BJ103" s="154"/>
      <c r="BK103" s="149"/>
      <c r="BL103" s="149"/>
      <c r="BM103" s="149"/>
      <c r="BN103" s="149"/>
      <c r="BO103" s="149"/>
      <c r="BP103" s="149"/>
      <c r="BQ103" s="149"/>
      <c r="BR103" s="149"/>
      <c r="BS103" s="191"/>
      <c r="BT103" s="152"/>
      <c r="BU103" s="152"/>
      <c r="BV103" s="322"/>
      <c r="BW103" s="171"/>
      <c r="BX103" s="151"/>
      <c r="BY103" s="797"/>
      <c r="BZ103" s="797"/>
      <c r="CA103" s="797"/>
      <c r="CB103" s="797"/>
      <c r="CC103" s="797"/>
      <c r="CD103" s="797"/>
      <c r="CE103" s="797"/>
      <c r="CF103" s="797"/>
      <c r="CG103" s="797"/>
      <c r="CH103" s="797"/>
      <c r="CI103" s="797"/>
      <c r="CJ103" s="797"/>
      <c r="CK103" s="797"/>
      <c r="CL103" s="797"/>
      <c r="CM103" s="797"/>
      <c r="CN103" s="797"/>
      <c r="CO103" s="797"/>
      <c r="CP103" s="797"/>
      <c r="CQ103" s="797"/>
      <c r="CR103" s="797"/>
      <c r="CS103" s="797"/>
      <c r="CT103" s="797"/>
      <c r="CU103" s="797"/>
    </row>
    <row r="104" spans="1:99" x14ac:dyDescent="0.25">
      <c r="A104" s="346">
        <f>SUM(D89-D94)</f>
        <v>132201.85505244415</v>
      </c>
      <c r="B104" s="346">
        <f>SUM(F89-F94)</f>
        <v>133219.68986890517</v>
      </c>
      <c r="C104" s="323">
        <f>SUM(H89-H94)</f>
        <v>133126.62849823775</v>
      </c>
      <c r="D104" s="267">
        <f>SUM(A106-B106)</f>
        <v>0.30788941073114984</v>
      </c>
      <c r="E104" s="267">
        <v>1.8</v>
      </c>
      <c r="F104" s="323">
        <f>SUM(E104/D90)*(D90+E104)/2</f>
        <v>2.52</v>
      </c>
      <c r="G104" s="321">
        <f>SUM(H105/H106)*H104</f>
        <v>133132.03630022774</v>
      </c>
      <c r="H104" s="321">
        <f>SUM(H105+(F103*G103))</f>
        <v>133132.05066136489</v>
      </c>
      <c r="I104" s="319">
        <f>(I102+J99+Q110)/3</f>
        <v>133163.30109375002</v>
      </c>
      <c r="J104" s="319">
        <f>(B92+B89+A89)/3</f>
        <v>131810.40699835643</v>
      </c>
      <c r="K104" s="319">
        <f>(A89+B89+B92*2)/4</f>
        <v>132088.02136328496</v>
      </c>
      <c r="L104" s="257"/>
      <c r="M104" s="257"/>
      <c r="N104" s="257"/>
      <c r="O104" s="257"/>
      <c r="P104" s="257"/>
      <c r="Q104" s="257"/>
      <c r="R104" s="257"/>
      <c r="S104" s="151"/>
      <c r="T104" s="191"/>
      <c r="U104" s="149"/>
      <c r="V104" s="162"/>
      <c r="W104" s="149"/>
      <c r="X104" s="191"/>
      <c r="Y104" s="149"/>
      <c r="Z104" s="149"/>
      <c r="AA104" s="149"/>
      <c r="AB104" s="149"/>
      <c r="AC104" s="149"/>
      <c r="AD104" s="149"/>
      <c r="AE104" s="149"/>
      <c r="AF104" s="149"/>
      <c r="AG104" s="149"/>
      <c r="AH104" s="152"/>
      <c r="AI104" s="191"/>
      <c r="AJ104" s="152"/>
      <c r="AK104" s="171"/>
      <c r="AL104" s="151"/>
      <c r="AM104" s="346">
        <f>SUM(AP89-AP94)</f>
        <v>165358.97361556001</v>
      </c>
      <c r="AN104" s="346">
        <f>SUM(AR89-AR94)</f>
        <v>165628.98158338203</v>
      </c>
      <c r="AO104" s="323">
        <f>SUM(AT89-AT94)</f>
        <v>165567.97637438533</v>
      </c>
      <c r="AP104" s="267">
        <f>SUM(AM106-AN106)</f>
        <v>0.18550732044968754</v>
      </c>
      <c r="AQ104" s="267">
        <v>1.8</v>
      </c>
      <c r="AR104" s="323">
        <f>SUM(AQ104/AP90)*(AP90+AQ104)/2</f>
        <v>2.52</v>
      </c>
      <c r="AS104" s="321">
        <f>SUM(AT105/AT106)*AT104</f>
        <v>165625.27961245697</v>
      </c>
      <c r="AT104" s="321">
        <f>SUM(AT105+(AR103*AS103))</f>
        <v>165625.28594627834</v>
      </c>
      <c r="AU104" s="319">
        <f>(AU102+AV99+BC110)/3</f>
        <v>165568.36776041667</v>
      </c>
      <c r="AV104" s="319">
        <f>(AN92+AN89+AM89)/3</f>
        <v>164283.45603718809</v>
      </c>
      <c r="AW104" s="319">
        <f>(AM89+AN89+AN92*2)/4</f>
        <v>164499.53059150622</v>
      </c>
      <c r="AX104" s="257"/>
      <c r="AY104" s="257"/>
      <c r="AZ104" s="257"/>
      <c r="BA104" s="257"/>
      <c r="BB104" s="257"/>
      <c r="BC104" s="257"/>
      <c r="BD104" s="257"/>
      <c r="BE104" s="151"/>
      <c r="BF104" s="191"/>
      <c r="BG104" s="149"/>
      <c r="BH104" s="162"/>
      <c r="BI104" s="149"/>
      <c r="BJ104" s="191"/>
      <c r="BK104" s="149"/>
      <c r="BL104" s="149"/>
      <c r="BM104" s="149"/>
      <c r="BN104" s="149"/>
      <c r="BO104" s="149"/>
      <c r="BP104" s="149"/>
      <c r="BQ104" s="149"/>
      <c r="BR104" s="149"/>
      <c r="BS104" s="149"/>
      <c r="BT104" s="152"/>
      <c r="BU104" s="191"/>
      <c r="BV104" s="152"/>
      <c r="BW104" s="171"/>
      <c r="BX104" s="151"/>
      <c r="BY104" s="797"/>
      <c r="BZ104" s="797"/>
      <c r="CA104" s="797"/>
      <c r="CB104" s="797"/>
      <c r="CC104" s="797"/>
      <c r="CD104" s="797"/>
      <c r="CE104" s="797"/>
      <c r="CF104" s="797"/>
      <c r="CG104" s="797"/>
      <c r="CH104" s="797"/>
      <c r="CI104" s="797"/>
      <c r="CJ104" s="797"/>
      <c r="CK104" s="797"/>
      <c r="CL104" s="797"/>
      <c r="CM104" s="797"/>
      <c r="CN104" s="797"/>
      <c r="CO104" s="797"/>
      <c r="CP104" s="797"/>
      <c r="CQ104" s="797"/>
      <c r="CR104" s="797"/>
      <c r="CS104" s="797"/>
      <c r="CT104" s="797"/>
      <c r="CU104" s="797"/>
    </row>
    <row r="105" spans="1:99" ht="15.75" thickBot="1" x14ac:dyDescent="0.3">
      <c r="A105" s="346">
        <f>SUM(A104+D93)</f>
        <v>132202.14494755582</v>
      </c>
      <c r="B105" s="346">
        <f>SUM(B104+F93)</f>
        <v>133220.15799378947</v>
      </c>
      <c r="C105" s="323">
        <f>SUM(C104+H93)</f>
        <v>133126.79414647399</v>
      </c>
      <c r="D105" s="267"/>
      <c r="E105" s="323">
        <f>SUM(A95)</f>
        <v>131884.71020387215</v>
      </c>
      <c r="F105" s="323">
        <f>SUM(A106/B106)*A106</f>
        <v>132850.00691939739</v>
      </c>
      <c r="G105" s="323">
        <f>SUM(E105+F104)</f>
        <v>131887.23020387214</v>
      </c>
      <c r="H105" s="321">
        <f>SUM(((E106-F103*G103)+E106))/2</f>
        <v>133132.0410872731</v>
      </c>
      <c r="I105" s="319">
        <f>(B92+A89+B89+A89)/4</f>
        <v>131661.2031041992</v>
      </c>
      <c r="J105" s="319">
        <f>(J104+I104)/2</f>
        <v>132486.85404605322</v>
      </c>
      <c r="K105" s="319">
        <f>(K104+K103)/2</f>
        <v>131885.00894543505</v>
      </c>
      <c r="L105" s="257"/>
      <c r="M105" s="257"/>
      <c r="N105" s="257"/>
      <c r="O105" s="257"/>
      <c r="P105" s="257"/>
      <c r="Q105" s="257"/>
      <c r="R105" s="257"/>
      <c r="S105" s="15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51"/>
      <c r="AM105" s="346">
        <f>SUM(AM104+AP93)</f>
        <v>165359.10553776001</v>
      </c>
      <c r="AN105" s="346">
        <f>SUM(AN104+AR93)</f>
        <v>165629.33501851617</v>
      </c>
      <c r="AO105" s="323">
        <f>SUM(AO104+AT93)</f>
        <v>165568.04753901256</v>
      </c>
      <c r="AP105" s="267"/>
      <c r="AQ105" s="323">
        <f>SUM(AM95)</f>
        <v>164446.39200609428</v>
      </c>
      <c r="AR105" s="323">
        <f>SUM(AM106/AN106)*AM106</f>
        <v>165519.01487262463</v>
      </c>
      <c r="AS105" s="323">
        <f>SUM(AQ105+AR104)</f>
        <v>164448.91200609427</v>
      </c>
      <c r="AT105" s="321">
        <f>SUM(((AQ106-AR103*AS103)+AQ106))/2</f>
        <v>165625.2817237307</v>
      </c>
      <c r="AU105" s="319">
        <f>(AN92+AM89+AN89+AM89)/4</f>
        <v>164166.52046365003</v>
      </c>
      <c r="AV105" s="319">
        <f>(AV104+AU104)/2</f>
        <v>164925.91189880238</v>
      </c>
      <c r="AW105" s="319">
        <f>(AW104+AW103)/2</f>
        <v>164341.92382395716</v>
      </c>
      <c r="AX105" s="257"/>
      <c r="AY105" s="257"/>
      <c r="AZ105" s="257"/>
      <c r="BA105" s="257"/>
      <c r="BB105" s="257"/>
      <c r="BC105" s="257"/>
      <c r="BD105" s="257"/>
      <c r="BE105" s="151"/>
      <c r="BF105" s="171"/>
      <c r="BG105" s="171"/>
      <c r="BH105" s="171"/>
      <c r="BI105" s="171"/>
      <c r="BJ105" s="171"/>
      <c r="BK105" s="171"/>
      <c r="BL105" s="171"/>
      <c r="BM105" s="171"/>
      <c r="BN105" s="171"/>
      <c r="BO105" s="171"/>
      <c r="BP105" s="171"/>
      <c r="BQ105" s="171"/>
      <c r="BR105" s="171"/>
      <c r="BS105" s="171"/>
      <c r="BT105" s="171"/>
      <c r="BU105" s="171"/>
      <c r="BV105" s="171"/>
      <c r="BW105" s="171"/>
      <c r="BX105" s="151"/>
      <c r="BY105" s="797"/>
      <c r="BZ105" s="797"/>
      <c r="CA105" s="797"/>
      <c r="CB105" s="797"/>
      <c r="CC105" s="797"/>
      <c r="CD105" s="797"/>
      <c r="CE105" s="797"/>
      <c r="CF105" s="797"/>
      <c r="CG105" s="797"/>
      <c r="CH105" s="797"/>
      <c r="CI105" s="797"/>
      <c r="CJ105" s="797"/>
      <c r="CK105" s="797"/>
      <c r="CL105" s="797"/>
      <c r="CM105" s="797"/>
      <c r="CN105" s="797"/>
      <c r="CO105" s="797"/>
      <c r="CP105" s="797"/>
      <c r="CQ105" s="797"/>
      <c r="CR105" s="797"/>
      <c r="CS105" s="797"/>
      <c r="CT105" s="797"/>
      <c r="CU105" s="797"/>
    </row>
    <row r="106" spans="1:99" ht="15.75" thickBot="1" x14ac:dyDescent="0.3">
      <c r="A106" s="346">
        <f>SUM(A105+B105+C105)/3</f>
        <v>132849.69902927309</v>
      </c>
      <c r="B106" s="346">
        <f>SUM(A104+B104+C104)/3</f>
        <v>132849.39113986236</v>
      </c>
      <c r="C106" s="267"/>
      <c r="D106" s="267">
        <f>SUM(F106+F105)/2</f>
        <v>132849.54508528131</v>
      </c>
      <c r="E106" s="323">
        <f>SUM(A93)</f>
        <v>133132.04587431898</v>
      </c>
      <c r="F106" s="373">
        <f>SUM(B106/A106)*B106</f>
        <v>132849.0832511652</v>
      </c>
      <c r="G106" s="323">
        <f>SUM(E106+F104)</f>
        <v>133134.56587431897</v>
      </c>
      <c r="H106" s="321">
        <f>SUM(E106+(F103*G103))</f>
        <v>133132.05544841077</v>
      </c>
      <c r="I106" s="319">
        <f>(A89+I105)/2</f>
        <v>131437.39726296332</v>
      </c>
      <c r="J106" s="319">
        <f>(B92+B89+B91)/3</f>
        <v>131559.49284626459</v>
      </c>
      <c r="K106" s="325">
        <f>K80</f>
        <v>45</v>
      </c>
      <c r="L106" s="374">
        <f>(C89+D89)/2</f>
        <v>133095</v>
      </c>
      <c r="M106" s="257"/>
      <c r="N106" s="257"/>
      <c r="O106" s="257"/>
      <c r="P106" s="257"/>
      <c r="Q106" s="257"/>
      <c r="R106" s="257"/>
      <c r="S106" s="151"/>
      <c r="T106" s="171"/>
      <c r="U106" s="171"/>
      <c r="V106" s="171"/>
      <c r="W106" s="171"/>
      <c r="X106" s="171"/>
      <c r="Y106" s="171"/>
      <c r="Z106" s="171"/>
      <c r="AA106" s="171"/>
      <c r="AB106" s="171"/>
      <c r="AC106" s="171"/>
      <c r="AD106" s="171"/>
      <c r="AE106" s="171"/>
      <c r="AF106" s="171"/>
      <c r="AG106" s="171"/>
      <c r="AH106" s="171"/>
      <c r="AI106" s="171"/>
      <c r="AJ106" s="171"/>
      <c r="AK106" s="171"/>
      <c r="AL106" s="151"/>
      <c r="AM106" s="346">
        <f>SUM(AM105+AN105+AO105)/3</f>
        <v>165518.82936509626</v>
      </c>
      <c r="AN106" s="346">
        <f>SUM(AM104+AN104+AO104)/3</f>
        <v>165518.64385777581</v>
      </c>
      <c r="AO106" s="267"/>
      <c r="AP106" s="267">
        <f>SUM(AR106+AR105)/2</f>
        <v>165518.73661164395</v>
      </c>
      <c r="AQ106" s="323">
        <f>SUM(AM93)</f>
        <v>165625.28383500452</v>
      </c>
      <c r="AR106" s="373">
        <f>SUM(AN106/AM106)*AN106</f>
        <v>165518.45835066328</v>
      </c>
      <c r="AS106" s="323">
        <f>SUM(AQ106+AR104)</f>
        <v>165627.80383500451</v>
      </c>
      <c r="AT106" s="321">
        <f>SUM(AQ106+(AR103*AS103))</f>
        <v>165625.28805755216</v>
      </c>
      <c r="AU106" s="319">
        <f>(AM89+AU105)/2</f>
        <v>163991.11710334293</v>
      </c>
      <c r="AV106" s="319">
        <f>(AN92+AN89+AN91)/3</f>
        <v>164090.92502570877</v>
      </c>
      <c r="AW106" s="325">
        <f>AW80</f>
        <v>45</v>
      </c>
      <c r="AX106" s="374">
        <f>(AO89+AP89)/2</f>
        <v>165666</v>
      </c>
      <c r="AY106" s="257"/>
      <c r="AZ106" s="257"/>
      <c r="BA106" s="257"/>
      <c r="BB106" s="257"/>
      <c r="BC106" s="257"/>
      <c r="BD106" s="257"/>
      <c r="BE106" s="151"/>
      <c r="BF106" s="171"/>
      <c r="BG106" s="171"/>
      <c r="BH106" s="171"/>
      <c r="BI106" s="171"/>
      <c r="BJ106" s="171"/>
      <c r="BK106" s="171"/>
      <c r="BL106" s="171"/>
      <c r="BM106" s="171"/>
      <c r="BN106" s="171"/>
      <c r="BO106" s="171"/>
      <c r="BP106" s="171"/>
      <c r="BQ106" s="171"/>
      <c r="BR106" s="171"/>
      <c r="BS106" s="171"/>
      <c r="BT106" s="171"/>
      <c r="BU106" s="171"/>
      <c r="BV106" s="171"/>
      <c r="BW106" s="171"/>
      <c r="BX106" s="151"/>
      <c r="BY106" s="797"/>
      <c r="BZ106" s="797"/>
      <c r="CA106" s="797"/>
      <c r="CB106" s="797"/>
      <c r="CC106" s="797"/>
      <c r="CD106" s="797"/>
      <c r="CE106" s="797"/>
      <c r="CF106" s="797"/>
      <c r="CG106" s="797"/>
      <c r="CH106" s="797"/>
      <c r="CI106" s="797"/>
      <c r="CJ106" s="797"/>
      <c r="CK106" s="797"/>
      <c r="CL106" s="797"/>
      <c r="CM106" s="797"/>
      <c r="CN106" s="797"/>
      <c r="CO106" s="797"/>
      <c r="CP106" s="797"/>
      <c r="CQ106" s="797"/>
      <c r="CR106" s="797"/>
      <c r="CS106" s="797"/>
      <c r="CT106" s="797"/>
      <c r="CU106" s="797"/>
    </row>
    <row r="107" spans="1:99" x14ac:dyDescent="0.25">
      <c r="A107" s="375">
        <f>SUM(H89)</f>
        <v>133126.78477992237</v>
      </c>
      <c r="B107" s="375">
        <f>SUM(G89)</f>
        <v>133163.30109375002</v>
      </c>
      <c r="C107" s="329">
        <f>SUM(F89)</f>
        <v>133220.10465226718</v>
      </c>
      <c r="D107" s="329">
        <f>SUM(E89)</f>
        <v>133654.08781096819</v>
      </c>
      <c r="E107" s="329">
        <f>SUM(D89)</f>
        <v>132202</v>
      </c>
      <c r="F107" s="329">
        <f>SUM(C89)</f>
        <v>133988</v>
      </c>
      <c r="G107" s="329">
        <f>SUM(A111)</f>
        <v>133988</v>
      </c>
      <c r="H107" s="329">
        <f>SUM(B111)</f>
        <v>133220.10465226718</v>
      </c>
      <c r="I107" s="330">
        <f>((I101*100)^L101)</f>
        <v>3662.6356630164569</v>
      </c>
      <c r="J107" s="330">
        <f>INT(I107)+1</f>
        <v>3663</v>
      </c>
      <c r="K107" s="292">
        <f>(J107+K106/360)^L102/100</f>
        <v>134184.84765625</v>
      </c>
      <c r="L107" s="330">
        <f>INT(J107)+1</f>
        <v>3664</v>
      </c>
      <c r="M107" s="292">
        <f>(L107+K106/360)^L102/100</f>
        <v>134258.12015624999</v>
      </c>
      <c r="N107" s="292">
        <f>(K107+M107)/2</f>
        <v>134221.48390624998</v>
      </c>
      <c r="O107" s="292">
        <f>((O108+L106)/2*100)^L101</f>
        <v>3655.9926351727649</v>
      </c>
      <c r="P107" s="292">
        <f>INT(O107)+1</f>
        <v>3656</v>
      </c>
      <c r="Q107" s="330">
        <f>(P107+K106/360)^L102/100</f>
        <v>133672.50015625</v>
      </c>
      <c r="R107" s="292">
        <f>INT(Q108)+1</f>
        <v>3651</v>
      </c>
      <c r="S107" s="15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171"/>
      <c r="AH107" s="171"/>
      <c r="AI107" s="171"/>
      <c r="AJ107" s="171"/>
      <c r="AK107" s="171"/>
      <c r="AL107" s="151"/>
      <c r="AM107" s="375">
        <f>SUM(AT89)</f>
        <v>165568.21466013868</v>
      </c>
      <c r="AN107" s="375">
        <f>SUM(AS89)</f>
        <v>165568.36776041667</v>
      </c>
      <c r="AO107" s="329">
        <f>SUM(AR89)</f>
        <v>165629.35679291605</v>
      </c>
      <c r="AP107" s="329">
        <f>SUM(AQ89)</f>
        <v>165865.13506624813</v>
      </c>
      <c r="AQ107" s="329">
        <f>SUM(AP89)</f>
        <v>165359</v>
      </c>
      <c r="AR107" s="329">
        <f>SUM(AO89)</f>
        <v>165973</v>
      </c>
      <c r="AS107" s="329">
        <f>SUM(AM111)</f>
        <v>165973</v>
      </c>
      <c r="AT107" s="329">
        <f>SUM(AN111)</f>
        <v>165629.35679291605</v>
      </c>
      <c r="AU107" s="330">
        <f>((AU101*100)^AX101)</f>
        <v>4074.0029455070353</v>
      </c>
      <c r="AV107" s="330">
        <f>INT(AU107)+1</f>
        <v>4075</v>
      </c>
      <c r="AW107" s="292">
        <f>(AV107+AW106/360)^AX102/100</f>
        <v>166066.43765625</v>
      </c>
      <c r="AX107" s="330">
        <f>INT(AV107)+1</f>
        <v>4076</v>
      </c>
      <c r="AY107" s="292">
        <f>(AX107+AW106/360)^AX102/100</f>
        <v>166147.95015625001</v>
      </c>
      <c r="AZ107" s="292">
        <f>(AW107+AY107)/2</f>
        <v>166107.19390625</v>
      </c>
      <c r="BA107" s="292">
        <f>((BA108+AX106)/2*100)^AX101</f>
        <v>4072.9803766330006</v>
      </c>
      <c r="BB107" s="292">
        <f>INT(BA107)+1</f>
        <v>4073</v>
      </c>
      <c r="BC107" s="330">
        <f>(BB107+AW106/360)^AX102/100</f>
        <v>165903.47265625</v>
      </c>
      <c r="BD107" s="292">
        <f>INT(BC108)+1</f>
        <v>4071</v>
      </c>
      <c r="BE107" s="151"/>
      <c r="BF107" s="171"/>
      <c r="BG107" s="171"/>
      <c r="BH107" s="171"/>
      <c r="BI107" s="171"/>
      <c r="BJ107" s="171"/>
      <c r="BK107" s="171"/>
      <c r="BL107" s="171"/>
      <c r="BM107" s="171"/>
      <c r="BN107" s="171"/>
      <c r="BO107" s="171"/>
      <c r="BP107" s="171"/>
      <c r="BQ107" s="171"/>
      <c r="BR107" s="171"/>
      <c r="BS107" s="171"/>
      <c r="BT107" s="171"/>
      <c r="BU107" s="171"/>
      <c r="BV107" s="171"/>
      <c r="BW107" s="171"/>
      <c r="BX107" s="151"/>
      <c r="BY107" s="797"/>
      <c r="BZ107" s="797"/>
      <c r="CA107" s="797"/>
      <c r="CB107" s="797"/>
      <c r="CC107" s="797"/>
      <c r="CD107" s="797"/>
      <c r="CE107" s="797"/>
      <c r="CF107" s="797"/>
      <c r="CG107" s="797"/>
      <c r="CH107" s="797"/>
      <c r="CI107" s="797"/>
      <c r="CJ107" s="797"/>
      <c r="CK107" s="797"/>
      <c r="CL107" s="797"/>
      <c r="CM107" s="797"/>
      <c r="CN107" s="797"/>
      <c r="CO107" s="797"/>
      <c r="CP107" s="797"/>
      <c r="CQ107" s="797"/>
      <c r="CR107" s="797"/>
      <c r="CS107" s="797"/>
      <c r="CT107" s="797"/>
      <c r="CU107" s="797"/>
    </row>
    <row r="108" spans="1:99" x14ac:dyDescent="0.25">
      <c r="A108" s="375">
        <f t="shared" ref="A108:F108" si="4">SUM(A107)</f>
        <v>133126.78477992237</v>
      </c>
      <c r="B108" s="375">
        <f t="shared" si="4"/>
        <v>133163.30109375002</v>
      </c>
      <c r="C108" s="329">
        <f t="shared" si="4"/>
        <v>133220.10465226718</v>
      </c>
      <c r="D108" s="329">
        <f t="shared" si="4"/>
        <v>133654.08781096819</v>
      </c>
      <c r="E108" s="329">
        <f t="shared" si="4"/>
        <v>132202</v>
      </c>
      <c r="F108" s="329">
        <f t="shared" si="4"/>
        <v>133988</v>
      </c>
      <c r="G108" s="329">
        <f>SUM(H105)</f>
        <v>133132.0410872731</v>
      </c>
      <c r="H108" s="329">
        <f>SUM(G101)</f>
        <v>133885.80653100094</v>
      </c>
      <c r="I108" s="330">
        <f>(J101*100)^L101</f>
        <v>3651.8077715016711</v>
      </c>
      <c r="J108" s="330">
        <f>INT(I108)+1</f>
        <v>3652</v>
      </c>
      <c r="K108" s="292">
        <f>(J108-K106/360)^L102/100</f>
        <v>133361.91015625</v>
      </c>
      <c r="L108" s="331">
        <f>INT(J108)+1</f>
        <v>3653</v>
      </c>
      <c r="M108" s="292">
        <f>(L108-K106/360)^L102/100</f>
        <v>133434.95765624999</v>
      </c>
      <c r="N108" s="292">
        <f>(N107+M107)/2</f>
        <v>134239.80203124997</v>
      </c>
      <c r="O108" s="292">
        <f>(N107+N108)/2</f>
        <v>134230.64296874998</v>
      </c>
      <c r="P108" s="292">
        <f>(K108+M108)/2</f>
        <v>133398.43390624999</v>
      </c>
      <c r="Q108" s="292">
        <f>((P108+L106)/2*100)^L101</f>
        <v>3650.2974803860166</v>
      </c>
      <c r="R108" s="292">
        <f>(R107+K106/360)^L102/100</f>
        <v>133307.13765625001</v>
      </c>
      <c r="S108" s="15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1"/>
      <c r="AD108" s="171"/>
      <c r="AE108" s="171"/>
      <c r="AF108" s="171"/>
      <c r="AG108" s="171"/>
      <c r="AH108" s="171"/>
      <c r="AI108" s="171"/>
      <c r="AJ108" s="171"/>
      <c r="AK108" s="171"/>
      <c r="AL108" s="151"/>
      <c r="AM108" s="375">
        <f t="shared" ref="AM108:AR108" si="5">SUM(AM107)</f>
        <v>165568.21466013868</v>
      </c>
      <c r="AN108" s="375">
        <f t="shared" si="5"/>
        <v>165568.36776041667</v>
      </c>
      <c r="AO108" s="329">
        <f t="shared" si="5"/>
        <v>165629.35679291605</v>
      </c>
      <c r="AP108" s="329">
        <f t="shared" si="5"/>
        <v>165865.13506624813</v>
      </c>
      <c r="AQ108" s="329">
        <f t="shared" si="5"/>
        <v>165359</v>
      </c>
      <c r="AR108" s="329">
        <f t="shared" si="5"/>
        <v>165973</v>
      </c>
      <c r="AS108" s="329">
        <f>SUM(AT105)</f>
        <v>165625.2817237307</v>
      </c>
      <c r="AT108" s="329">
        <f>SUM(AS101)</f>
        <v>165908.77434328877</v>
      </c>
      <c r="AU108" s="330">
        <f>(AV101*100)^AX101</f>
        <v>4069.459423559842</v>
      </c>
      <c r="AV108" s="330">
        <f>INT(AU108)+1</f>
        <v>4070</v>
      </c>
      <c r="AW108" s="292">
        <f>(AV108-AW106/360)^AX102/100</f>
        <v>165638.82515625001</v>
      </c>
      <c r="AX108" s="331">
        <f>INT(AV108)+1</f>
        <v>4071</v>
      </c>
      <c r="AY108" s="292">
        <f>(AX108-AW106/360)^AX102/100</f>
        <v>165720.23265625001</v>
      </c>
      <c r="AZ108" s="292">
        <f>(AZ107+AY107)/2</f>
        <v>166127.57203124999</v>
      </c>
      <c r="BA108" s="292">
        <f>(AZ107+AZ108)/2</f>
        <v>166117.38296875</v>
      </c>
      <c r="BB108" s="292">
        <f>(AW108+AY108)/2</f>
        <v>165679.52890625002</v>
      </c>
      <c r="BC108" s="292">
        <f>((BB108+AX106)/2*100)^AX101</f>
        <v>4070.2919361284767</v>
      </c>
      <c r="BD108" s="292">
        <f>(BD107+AW106/360)^AX102/100</f>
        <v>165740.58765624999</v>
      </c>
      <c r="BE108" s="151"/>
      <c r="BF108" s="171"/>
      <c r="BG108" s="171"/>
      <c r="BH108" s="171"/>
      <c r="BI108" s="171"/>
      <c r="BJ108" s="171"/>
      <c r="BK108" s="171"/>
      <c r="BL108" s="171"/>
      <c r="BM108" s="171"/>
      <c r="BN108" s="171"/>
      <c r="BO108" s="171"/>
      <c r="BP108" s="171"/>
      <c r="BQ108" s="171"/>
      <c r="BR108" s="171"/>
      <c r="BS108" s="171"/>
      <c r="BT108" s="171"/>
      <c r="BU108" s="171"/>
      <c r="BV108" s="171"/>
      <c r="BW108" s="171"/>
      <c r="BX108" s="151"/>
      <c r="BY108" s="797"/>
      <c r="BZ108" s="797"/>
      <c r="CA108" s="797"/>
      <c r="CB108" s="797"/>
      <c r="CC108" s="797"/>
      <c r="CD108" s="797"/>
      <c r="CE108" s="797"/>
      <c r="CF108" s="797"/>
      <c r="CG108" s="797"/>
      <c r="CH108" s="797"/>
      <c r="CI108" s="797"/>
      <c r="CJ108" s="797"/>
      <c r="CK108" s="797"/>
      <c r="CL108" s="797"/>
      <c r="CM108" s="797"/>
      <c r="CN108" s="797"/>
      <c r="CO108" s="797"/>
      <c r="CP108" s="797"/>
      <c r="CQ108" s="797"/>
      <c r="CR108" s="797"/>
      <c r="CS108" s="797"/>
      <c r="CT108" s="797"/>
      <c r="CU108" s="797"/>
    </row>
    <row r="109" spans="1:99" x14ac:dyDescent="0.25">
      <c r="A109" s="375">
        <f>SUM(C89)</f>
        <v>133988</v>
      </c>
      <c r="B109" s="375">
        <f>SUM(A98+A95)/2</f>
        <v>131602.43565547391</v>
      </c>
      <c r="C109" s="329">
        <f>SUM((A110/B110)*(B109+B109))/2</f>
        <v>133071.93923158859</v>
      </c>
      <c r="D109" s="329">
        <f>SUM(B109/C109)*(C109+B109)/2</f>
        <v>130875.79767703217</v>
      </c>
      <c r="E109" s="329">
        <f>SUM(C109/D109)*(C109+D109)/2</f>
        <v>134188.43601968492</v>
      </c>
      <c r="F109" s="329">
        <f>SUM(D109+E109)/2</f>
        <v>132532.11684835854</v>
      </c>
      <c r="G109" s="329">
        <f>SUM(E109/F109)*(F109+E109)/2</f>
        <v>135026.94552377745</v>
      </c>
      <c r="H109" s="329">
        <f>SUM(E109/G109)*(G109+E109)/2</f>
        <v>133771.78481534435</v>
      </c>
      <c r="I109" s="292">
        <f>(I102*100)^L101</f>
        <v>3665.0102319093189</v>
      </c>
      <c r="J109" s="292">
        <f>INT(I109)+1</f>
        <v>3666</v>
      </c>
      <c r="K109" s="292">
        <f>(J109+K106/360)^L102/100</f>
        <v>134404.72515625</v>
      </c>
      <c r="L109" s="292">
        <f>INT(J109)+1</f>
        <v>3667</v>
      </c>
      <c r="M109" s="292">
        <f>(L109+K106/360)^L102/100</f>
        <v>134478.05765624999</v>
      </c>
      <c r="N109" s="292">
        <f>(K109+M109)/2</f>
        <v>134441.39140625001</v>
      </c>
      <c r="O109" s="292">
        <f>((N109+L106)/2*100)^L101</f>
        <v>3657.4334676535814</v>
      </c>
      <c r="P109" s="292">
        <f>INT(O109)+1</f>
        <v>3658</v>
      </c>
      <c r="Q109" s="292">
        <f>(P109+K106/360)^L102/100</f>
        <v>133818.78515625</v>
      </c>
      <c r="R109" s="292"/>
      <c r="S109" s="151"/>
      <c r="T109" s="152"/>
      <c r="U109" s="153"/>
      <c r="V109" s="154"/>
      <c r="W109" s="154"/>
      <c r="X109" s="154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  <c r="AJ109" s="149"/>
      <c r="AK109" s="150"/>
      <c r="AL109" s="151"/>
      <c r="AM109" s="375">
        <f>SUM(AO89)</f>
        <v>165973</v>
      </c>
      <c r="AN109" s="375">
        <f>SUM(AM98+AM95)/2</f>
        <v>164178.13880586292</v>
      </c>
      <c r="AO109" s="329">
        <f>SUM((AM110/AN110)*(AN109+AN109))/2</f>
        <v>165110.42935321084</v>
      </c>
      <c r="AP109" s="329">
        <f>SUM(AN109/AO109)*(AO109+AN109)/2</f>
        <v>163714.62560597158</v>
      </c>
      <c r="AQ109" s="329">
        <f>SUM(AO109/AP109)*(AO109+AP109)/2</f>
        <v>165814.28142246386</v>
      </c>
      <c r="AR109" s="329">
        <f>SUM(AP109+AQ109)/2</f>
        <v>164764.45351421772</v>
      </c>
      <c r="AS109" s="329">
        <f>SUM(AQ109/AR109)*(AR109+AQ109)/2</f>
        <v>166342.53996522064</v>
      </c>
      <c r="AT109" s="329">
        <f>SUM(AQ109/AS109)*(AS109+AQ109)/2</f>
        <v>165550.99095361924</v>
      </c>
      <c r="AU109" s="292">
        <f>(AU102*100)^AX101</f>
        <v>4074.6410884886536</v>
      </c>
      <c r="AV109" s="292">
        <f>INT(AU109)+1</f>
        <v>4075</v>
      </c>
      <c r="AW109" s="292">
        <f>(AV109+AW106/360)^AX102/100</f>
        <v>166066.43765625</v>
      </c>
      <c r="AX109" s="292">
        <f>INT(AV109)+1</f>
        <v>4076</v>
      </c>
      <c r="AY109" s="292">
        <f>(AX109+AW106/360)^AX102/100</f>
        <v>166147.95015625001</v>
      </c>
      <c r="AZ109" s="292">
        <f>(AW109+AY109)/2</f>
        <v>166107.19390625</v>
      </c>
      <c r="BA109" s="292">
        <f>((AZ109+AX106)/2*100)^AX101</f>
        <v>4072.9178355710173</v>
      </c>
      <c r="BB109" s="292">
        <f>INT(BA109)+1</f>
        <v>4073</v>
      </c>
      <c r="BC109" s="292">
        <f>(BB109+AW106/360)^AX102/100</f>
        <v>165903.47265625</v>
      </c>
      <c r="BD109" s="292"/>
      <c r="BE109" s="151"/>
      <c r="BF109" s="152"/>
      <c r="BG109" s="153"/>
      <c r="BH109" s="154"/>
      <c r="BI109" s="154"/>
      <c r="BJ109" s="154"/>
      <c r="BK109" s="149"/>
      <c r="BL109" s="149"/>
      <c r="BM109" s="149"/>
      <c r="BN109" s="149"/>
      <c r="BO109" s="149"/>
      <c r="BP109" s="149"/>
      <c r="BQ109" s="149"/>
      <c r="BR109" s="149"/>
      <c r="BS109" s="149"/>
      <c r="BT109" s="149"/>
      <c r="BU109" s="149"/>
      <c r="BV109" s="149"/>
      <c r="BW109" s="150"/>
      <c r="BX109" s="151"/>
      <c r="BY109" s="797"/>
      <c r="BZ109" s="797"/>
      <c r="CA109" s="797"/>
      <c r="CB109" s="797"/>
      <c r="CC109" s="797"/>
      <c r="CD109" s="797"/>
      <c r="CE109" s="797"/>
      <c r="CF109" s="797"/>
      <c r="CG109" s="797"/>
      <c r="CH109" s="797"/>
      <c r="CI109" s="797"/>
      <c r="CJ109" s="797"/>
      <c r="CK109" s="797"/>
      <c r="CL109" s="797"/>
      <c r="CM109" s="797"/>
      <c r="CN109" s="797"/>
      <c r="CO109" s="797"/>
      <c r="CP109" s="797"/>
      <c r="CQ109" s="797"/>
      <c r="CR109" s="797"/>
      <c r="CS109" s="797"/>
      <c r="CT109" s="797"/>
      <c r="CU109" s="797"/>
    </row>
    <row r="110" spans="1:99" x14ac:dyDescent="0.25">
      <c r="A110" s="334">
        <f>SUM(A109)</f>
        <v>133988</v>
      </c>
      <c r="B110" s="334">
        <f>SUM(H104+E105)/2</f>
        <v>132508.38043261852</v>
      </c>
      <c r="C110" s="333">
        <f>SUM(A110/B110)*(A110+B110)/2</f>
        <v>134736.07067276444</v>
      </c>
      <c r="D110" s="333">
        <f>SUM(B110/C110)*(B110+A110)/2</f>
        <v>131045.10019461116</v>
      </c>
      <c r="E110" s="333">
        <f>SUM(C110/D110)*(D110+A110)/2</f>
        <v>136248.96491899298</v>
      </c>
      <c r="F110" s="333">
        <f>SUM(D110/A110)*(E110+A110)/2</f>
        <v>132150.75284390041</v>
      </c>
      <c r="G110" s="333">
        <f>SUM(E110/F110)*(A110+F110)/2</f>
        <v>137196.07652423152</v>
      </c>
      <c r="H110" s="333">
        <f>SUM(A110/G110)*(G110+A110)/2</f>
        <v>132421.4692061955</v>
      </c>
      <c r="I110" s="292">
        <f>(J102*100)^L101</f>
        <v>3651.3422189655134</v>
      </c>
      <c r="J110" s="292">
        <f>INT(I110)+1</f>
        <v>3652</v>
      </c>
      <c r="K110" s="292">
        <f>(J110+K106/360)^L102/100</f>
        <v>133380.17015625001</v>
      </c>
      <c r="L110" s="292">
        <f>INT(I110)+1</f>
        <v>3652</v>
      </c>
      <c r="M110" s="292">
        <f>(L110+K106/360)^L102/100</f>
        <v>133380.17015625001</v>
      </c>
      <c r="N110" s="292">
        <f>(K110+M110)/2</f>
        <v>133380.17015625001</v>
      </c>
      <c r="O110" s="292">
        <f>((N110+L106)/2*100)^L101</f>
        <v>3650.1723942592766</v>
      </c>
      <c r="P110" s="292">
        <f>INT(O110)+1</f>
        <v>3651</v>
      </c>
      <c r="Q110" s="292">
        <f>(P110+K106/360)^L102/100</f>
        <v>133307.13765625001</v>
      </c>
      <c r="R110" s="292"/>
      <c r="S110" s="151"/>
      <c r="T110" s="163"/>
      <c r="U110" s="153"/>
      <c r="V110" s="164"/>
      <c r="W110" s="154"/>
      <c r="X110" s="163"/>
      <c r="Y110" s="165"/>
      <c r="Z110" s="161"/>
      <c r="AA110" s="152"/>
      <c r="AB110" s="161"/>
      <c r="AC110" s="161"/>
      <c r="AD110" s="161"/>
      <c r="AE110" s="161"/>
      <c r="AF110" s="161"/>
      <c r="AG110" s="161"/>
      <c r="AH110" s="161"/>
      <c r="AI110" s="161"/>
      <c r="AJ110" s="162"/>
      <c r="AK110" s="150"/>
      <c r="AL110" s="151"/>
      <c r="AM110" s="334">
        <f>SUM(AM109)</f>
        <v>165973</v>
      </c>
      <c r="AN110" s="334">
        <f>SUM(AT104+AQ105)/2</f>
        <v>165035.83897618629</v>
      </c>
      <c r="AO110" s="333">
        <f>SUM(AM110/AN110)*(AM110+AN110)/2</f>
        <v>166444.24136057464</v>
      </c>
      <c r="AP110" s="333">
        <f>SUM(AN110/AO110)*(AN110+AM110)/2</f>
        <v>164103.96960092118</v>
      </c>
      <c r="AQ110" s="333">
        <f>SUM(AO110/AP110)*(AP110+AM110)/2</f>
        <v>167392.08359623491</v>
      </c>
      <c r="AR110" s="333">
        <f>SUM(AP110/AM110)*(AQ110+AM110)/2</f>
        <v>164805.52121274269</v>
      </c>
      <c r="AS110" s="333">
        <f>SUM(AQ110/AR110)*(AM110+AR110)/2</f>
        <v>167984.984566164</v>
      </c>
      <c r="AT110" s="333">
        <f>SUM(AM110/AS110)*(AS110+AM110)/2</f>
        <v>164979.05665660428</v>
      </c>
      <c r="AU110" s="292">
        <f>(AV102*100)^AX101</f>
        <v>4070.1597020264448</v>
      </c>
      <c r="AV110" s="292">
        <f>INT(AU110)+1</f>
        <v>4071</v>
      </c>
      <c r="AW110" s="292">
        <f>(AV110+AW106/360)^AX102/100</f>
        <v>165740.58765624999</v>
      </c>
      <c r="AX110" s="292">
        <f>INT(AU110)+1</f>
        <v>4071</v>
      </c>
      <c r="AY110" s="292">
        <f>(AX110+AW106/360)^AX102/100</f>
        <v>165740.58765624999</v>
      </c>
      <c r="AZ110" s="292">
        <f>(AW110+AY110)/2</f>
        <v>165740.58765624999</v>
      </c>
      <c r="BA110" s="292">
        <f>((AZ110+AX106)/2*100)^AX101</f>
        <v>4070.6669456997461</v>
      </c>
      <c r="BB110" s="292">
        <f>INT(BA110)+1</f>
        <v>4071</v>
      </c>
      <c r="BC110" s="292">
        <f>(BB110+AW106/360)^AX102/100</f>
        <v>165740.58765624999</v>
      </c>
      <c r="BD110" s="292"/>
      <c r="BE110" s="151"/>
      <c r="BF110" s="163"/>
      <c r="BG110" s="153"/>
      <c r="BH110" s="164"/>
      <c r="BI110" s="154"/>
      <c r="BJ110" s="163"/>
      <c r="BK110" s="165"/>
      <c r="BL110" s="161"/>
      <c r="BM110" s="152"/>
      <c r="BN110" s="161"/>
      <c r="BO110" s="161"/>
      <c r="BP110" s="161"/>
      <c r="BQ110" s="161"/>
      <c r="BR110" s="161"/>
      <c r="BS110" s="161"/>
      <c r="BT110" s="161"/>
      <c r="BU110" s="161"/>
      <c r="BV110" s="162"/>
      <c r="BW110" s="150"/>
      <c r="BX110" s="151"/>
      <c r="BY110" s="797"/>
      <c r="BZ110" s="797"/>
      <c r="CA110" s="797"/>
      <c r="CB110" s="797"/>
      <c r="CC110" s="797"/>
      <c r="CD110" s="797"/>
      <c r="CE110" s="797"/>
      <c r="CF110" s="797"/>
      <c r="CG110" s="797"/>
      <c r="CH110" s="797"/>
      <c r="CI110" s="797"/>
      <c r="CJ110" s="797"/>
      <c r="CK110" s="797"/>
      <c r="CL110" s="797"/>
      <c r="CM110" s="797"/>
      <c r="CN110" s="797"/>
      <c r="CO110" s="797"/>
      <c r="CP110" s="797"/>
      <c r="CQ110" s="797"/>
      <c r="CR110" s="797"/>
      <c r="CS110" s="797"/>
      <c r="CT110" s="797"/>
      <c r="CU110" s="797"/>
    </row>
    <row r="111" spans="1:99" x14ac:dyDescent="0.25">
      <c r="A111" s="334">
        <f>SUM(A110)</f>
        <v>133988</v>
      </c>
      <c r="B111" s="334">
        <f>SUM(C108)</f>
        <v>133220.10465226718</v>
      </c>
      <c r="C111" s="334">
        <f>SUM(B92+A97)/2</f>
        <v>132061.5523164467</v>
      </c>
      <c r="D111" s="334">
        <f>SUM(A97)</f>
        <v>131202.24017482292</v>
      </c>
      <c r="E111" s="334">
        <f>SUM(A98)</f>
        <v>131320.16110707566</v>
      </c>
      <c r="F111" s="334">
        <f>SUM(((A111/B111)+(C111/B111))/2)*(B111+C111)/2</f>
        <v>132446.34933014668</v>
      </c>
      <c r="G111" s="334">
        <f>SUM(((D111/F111)+(E111/C111))/2*(D111+E111+F111)/3)</f>
        <v>130668.34852273065</v>
      </c>
      <c r="H111" s="334">
        <f>SUM(((G111/E111)+(E111/B111))/2*(B111+D111+G111)/3)</f>
        <v>130430.94649557053</v>
      </c>
      <c r="I111" s="335"/>
      <c r="J111" s="257"/>
      <c r="K111" s="257"/>
      <c r="L111" s="257"/>
      <c r="M111" s="257"/>
      <c r="N111" s="257"/>
      <c r="O111" s="257"/>
      <c r="P111" s="257"/>
      <c r="Q111" s="257"/>
      <c r="R111" s="257"/>
      <c r="S111" s="151"/>
      <c r="T111" s="163"/>
      <c r="U111" s="172"/>
      <c r="V111" s="154"/>
      <c r="W111" s="154"/>
      <c r="X111" s="173"/>
      <c r="Y111" s="174"/>
      <c r="Z111" s="161"/>
      <c r="AA111" s="161"/>
      <c r="AB111" s="161"/>
      <c r="AC111" s="161"/>
      <c r="AD111" s="161"/>
      <c r="AE111" s="161"/>
      <c r="AF111" s="161"/>
      <c r="AG111" s="161"/>
      <c r="AH111" s="161"/>
      <c r="AI111" s="161"/>
      <c r="AJ111" s="149"/>
      <c r="AK111" s="171"/>
      <c r="AL111" s="151"/>
      <c r="AM111" s="334">
        <f>SUM(AM110)</f>
        <v>165973</v>
      </c>
      <c r="AN111" s="334">
        <f>SUM(AO108)</f>
        <v>165629.35679291605</v>
      </c>
      <c r="AO111" s="334">
        <f>SUM(AN92+AM97)/2</f>
        <v>164475.98935742676</v>
      </c>
      <c r="AP111" s="334">
        <f>SUM(AM97)</f>
        <v>163804.22446039302</v>
      </c>
      <c r="AQ111" s="334">
        <f>SUM(AM98)</f>
        <v>163909.88560563157</v>
      </c>
      <c r="AR111" s="334">
        <f>SUM(((AM111/AN111)+(AO111/AN111))/2)*(AN111+AO111)/2</f>
        <v>164649.22059869068</v>
      </c>
      <c r="AS111" s="334">
        <f>SUM(((AP111/AR111)+(AQ111/AO111))/2*(AP111+AQ111+AR111)/3)</f>
        <v>163417.52615656293</v>
      </c>
      <c r="AT111" s="334">
        <f>SUM(((AS111/AQ111)+(AQ111/AN111))/2*(AN111+AP111+AS111)/3)</f>
        <v>163184.21062295916</v>
      </c>
      <c r="AU111" s="335"/>
      <c r="AV111" s="257"/>
      <c r="AW111" s="257"/>
      <c r="AX111" s="257"/>
      <c r="AY111" s="257"/>
      <c r="AZ111" s="257"/>
      <c r="BA111" s="257"/>
      <c r="BB111" s="257"/>
      <c r="BC111" s="257"/>
      <c r="BD111" s="257"/>
      <c r="BE111" s="151"/>
      <c r="BF111" s="163"/>
      <c r="BG111" s="172"/>
      <c r="BH111" s="154"/>
      <c r="BI111" s="154"/>
      <c r="BJ111" s="173"/>
      <c r="BK111" s="174"/>
      <c r="BL111" s="161"/>
      <c r="BM111" s="161"/>
      <c r="BN111" s="161"/>
      <c r="BO111" s="161"/>
      <c r="BP111" s="161"/>
      <c r="BQ111" s="161"/>
      <c r="BR111" s="161"/>
      <c r="BS111" s="161"/>
      <c r="BT111" s="161"/>
      <c r="BU111" s="161"/>
      <c r="BV111" s="149"/>
      <c r="BW111" s="171"/>
      <c r="BX111" s="151"/>
      <c r="BY111" s="797"/>
      <c r="BZ111" s="797"/>
      <c r="CA111" s="797"/>
      <c r="CB111" s="797"/>
      <c r="CC111" s="797"/>
      <c r="CD111" s="797"/>
      <c r="CE111" s="797"/>
      <c r="CF111" s="797"/>
      <c r="CG111" s="797"/>
      <c r="CH111" s="797"/>
      <c r="CI111" s="797"/>
      <c r="CJ111" s="797"/>
      <c r="CK111" s="797"/>
      <c r="CL111" s="797"/>
      <c r="CM111" s="797"/>
      <c r="CN111" s="797"/>
      <c r="CO111" s="797"/>
      <c r="CP111" s="797"/>
      <c r="CQ111" s="797"/>
      <c r="CR111" s="797"/>
      <c r="CS111" s="797"/>
      <c r="CT111" s="797"/>
      <c r="CU111" s="797"/>
    </row>
    <row r="112" spans="1:99" x14ac:dyDescent="0.25">
      <c r="A112" s="334">
        <f>SUM(D89)</f>
        <v>132202</v>
      </c>
      <c r="B112" s="334">
        <f>SUM(C89)</f>
        <v>133988</v>
      </c>
      <c r="C112" s="333">
        <f>SUM(A98)</f>
        <v>131320.16110707566</v>
      </c>
      <c r="D112" s="333">
        <f>SUM(A91)</f>
        <v>131249.97313166282</v>
      </c>
      <c r="E112" s="333">
        <f>SUM(B92)</f>
        <v>132920.86445807049</v>
      </c>
      <c r="F112" s="334">
        <f>SUM(A112)</f>
        <v>132202</v>
      </c>
      <c r="G112" s="334">
        <f>SUM(B112)</f>
        <v>133988</v>
      </c>
      <c r="H112" s="334">
        <f>SUM(C112)</f>
        <v>131320.16110707566</v>
      </c>
      <c r="I112" s="257"/>
      <c r="J112" s="257"/>
      <c r="K112" s="257"/>
      <c r="L112" s="257"/>
      <c r="M112" s="257"/>
      <c r="N112" s="257"/>
      <c r="O112" s="257"/>
      <c r="P112" s="257"/>
      <c r="Q112" s="257"/>
      <c r="R112" s="257"/>
      <c r="S112" s="151"/>
      <c r="T112" s="277"/>
      <c r="U112" s="153"/>
      <c r="V112" s="154"/>
      <c r="W112" s="154"/>
      <c r="X112" s="163"/>
      <c r="Y112" s="174"/>
      <c r="Z112" s="161"/>
      <c r="AA112" s="152"/>
      <c r="AB112" s="161"/>
      <c r="AC112" s="161"/>
      <c r="AD112" s="161"/>
      <c r="AE112" s="161"/>
      <c r="AF112" s="161"/>
      <c r="AG112" s="161"/>
      <c r="AH112" s="161"/>
      <c r="AI112" s="152"/>
      <c r="AJ112" s="162"/>
      <c r="AK112" s="150"/>
      <c r="AL112" s="151"/>
      <c r="AM112" s="334">
        <f>SUM(AP89)</f>
        <v>165359</v>
      </c>
      <c r="AN112" s="334">
        <f>SUM(AO89)</f>
        <v>165973</v>
      </c>
      <c r="AO112" s="333">
        <f>SUM(AM98)</f>
        <v>163909.88560563157</v>
      </c>
      <c r="AP112" s="333">
        <f>SUM(AM91)</f>
        <v>163840.92913094079</v>
      </c>
      <c r="AQ112" s="333">
        <f>SUM(AN92)</f>
        <v>165147.75425446054</v>
      </c>
      <c r="AR112" s="334">
        <f>SUM(AM112)</f>
        <v>165359</v>
      </c>
      <c r="AS112" s="334">
        <f>SUM(AN112)</f>
        <v>165973</v>
      </c>
      <c r="AT112" s="334">
        <f>SUM(AO112)</f>
        <v>163909.88560563157</v>
      </c>
      <c r="AU112" s="257"/>
      <c r="AV112" s="257"/>
      <c r="AW112" s="257"/>
      <c r="AX112" s="257"/>
      <c r="AY112" s="257"/>
      <c r="AZ112" s="257"/>
      <c r="BA112" s="257"/>
      <c r="BB112" s="257"/>
      <c r="BC112" s="257"/>
      <c r="BD112" s="257"/>
      <c r="BE112" s="151"/>
      <c r="BF112" s="277"/>
      <c r="BG112" s="153"/>
      <c r="BH112" s="154"/>
      <c r="BI112" s="154"/>
      <c r="BJ112" s="163"/>
      <c r="BK112" s="174"/>
      <c r="BL112" s="161"/>
      <c r="BM112" s="152"/>
      <c r="BN112" s="161"/>
      <c r="BO112" s="161"/>
      <c r="BP112" s="161"/>
      <c r="BQ112" s="161"/>
      <c r="BR112" s="161"/>
      <c r="BS112" s="161"/>
      <c r="BT112" s="161"/>
      <c r="BU112" s="152"/>
      <c r="BV112" s="162"/>
      <c r="BW112" s="150"/>
      <c r="BX112" s="151"/>
      <c r="BY112" s="797"/>
      <c r="BZ112" s="797"/>
      <c r="CA112" s="797"/>
      <c r="CB112" s="797"/>
      <c r="CC112" s="797"/>
      <c r="CD112" s="797"/>
      <c r="CE112" s="797"/>
      <c r="CF112" s="797"/>
      <c r="CG112" s="797"/>
      <c r="CH112" s="797"/>
      <c r="CI112" s="797"/>
      <c r="CJ112" s="797"/>
      <c r="CK112" s="797"/>
      <c r="CL112" s="797"/>
      <c r="CM112" s="797"/>
      <c r="CN112" s="797"/>
      <c r="CO112" s="797"/>
      <c r="CP112" s="797"/>
      <c r="CQ112" s="797"/>
      <c r="CR112" s="797"/>
      <c r="CS112" s="797"/>
      <c r="CT112" s="797"/>
      <c r="CU112" s="797"/>
    </row>
    <row r="113" spans="1:99" x14ac:dyDescent="0.25">
      <c r="A113" s="287">
        <f>SUM(H89)</f>
        <v>133126.78477992237</v>
      </c>
      <c r="B113" s="287">
        <f>SUM(G89)</f>
        <v>133163.30109375002</v>
      </c>
      <c r="C113" s="336">
        <f>SUM(F89)</f>
        <v>133220.10465226718</v>
      </c>
      <c r="D113" s="336">
        <f>SUM(E89)</f>
        <v>133654.08781096819</v>
      </c>
      <c r="E113" s="336">
        <f>SUM(D89)</f>
        <v>132202</v>
      </c>
      <c r="F113" s="336">
        <f>SUM(C89)</f>
        <v>133988</v>
      </c>
      <c r="G113" s="337">
        <f>SUM(A98)</f>
        <v>131320.16110707566</v>
      </c>
      <c r="H113" s="337">
        <f>SUM(A97)</f>
        <v>131202.24017482292</v>
      </c>
      <c r="I113" s="292"/>
      <c r="J113" s="292"/>
      <c r="K113" s="292"/>
      <c r="L113" s="292"/>
      <c r="M113" s="292"/>
      <c r="N113" s="292"/>
      <c r="O113" s="292"/>
      <c r="P113" s="292"/>
      <c r="Q113" s="292"/>
      <c r="R113" s="292"/>
      <c r="S113" s="151"/>
      <c r="T113" s="277"/>
      <c r="U113" s="180"/>
      <c r="V113" s="163"/>
      <c r="W113" s="154"/>
      <c r="X113" s="154"/>
      <c r="Y113" s="161"/>
      <c r="Z113" s="161"/>
      <c r="AA113" s="161"/>
      <c r="AB113" s="161"/>
      <c r="AC113" s="161"/>
      <c r="AD113" s="161"/>
      <c r="AE113" s="161"/>
      <c r="AF113" s="161"/>
      <c r="AG113" s="162"/>
      <c r="AH113" s="152"/>
      <c r="AI113" s="152"/>
      <c r="AJ113" s="162"/>
      <c r="AK113" s="171"/>
      <c r="AL113" s="151"/>
      <c r="AM113" s="287">
        <f>SUM(AT89)</f>
        <v>165568.21466013868</v>
      </c>
      <c r="AN113" s="287">
        <f>SUM(AS89)</f>
        <v>165568.36776041667</v>
      </c>
      <c r="AO113" s="336">
        <f>SUM(AR89)</f>
        <v>165629.35679291605</v>
      </c>
      <c r="AP113" s="336">
        <f>SUM(AQ89)</f>
        <v>165865.13506624813</v>
      </c>
      <c r="AQ113" s="336">
        <f>SUM(AP89)</f>
        <v>165359</v>
      </c>
      <c r="AR113" s="336">
        <f>SUM(AO89)</f>
        <v>165973</v>
      </c>
      <c r="AS113" s="337">
        <f>SUM(AM98)</f>
        <v>163909.88560563157</v>
      </c>
      <c r="AT113" s="337">
        <f>SUM(AM97)</f>
        <v>163804.22446039302</v>
      </c>
      <c r="AU113" s="292"/>
      <c r="AV113" s="292"/>
      <c r="AW113" s="292"/>
      <c r="AX113" s="292"/>
      <c r="AY113" s="292"/>
      <c r="AZ113" s="292"/>
      <c r="BA113" s="292"/>
      <c r="BB113" s="292"/>
      <c r="BC113" s="292"/>
      <c r="BD113" s="292"/>
      <c r="BE113" s="151"/>
      <c r="BF113" s="277"/>
      <c r="BG113" s="180"/>
      <c r="BH113" s="163"/>
      <c r="BI113" s="154"/>
      <c r="BJ113" s="154"/>
      <c r="BK113" s="161"/>
      <c r="BL113" s="161"/>
      <c r="BM113" s="161"/>
      <c r="BN113" s="161"/>
      <c r="BO113" s="161"/>
      <c r="BP113" s="161"/>
      <c r="BQ113" s="161"/>
      <c r="BR113" s="161"/>
      <c r="BS113" s="162"/>
      <c r="BT113" s="152"/>
      <c r="BU113" s="152"/>
      <c r="BV113" s="162"/>
      <c r="BW113" s="171"/>
      <c r="BX113" s="151"/>
      <c r="BY113" s="797"/>
      <c r="BZ113" s="797"/>
      <c r="CA113" s="797"/>
      <c r="CB113" s="797"/>
      <c r="CC113" s="797"/>
      <c r="CD113" s="797"/>
      <c r="CE113" s="797"/>
      <c r="CF113" s="797"/>
      <c r="CG113" s="797"/>
      <c r="CH113" s="797"/>
      <c r="CI113" s="797"/>
      <c r="CJ113" s="797"/>
      <c r="CK113" s="797"/>
      <c r="CL113" s="797"/>
      <c r="CM113" s="797"/>
      <c r="CN113" s="797"/>
      <c r="CO113" s="797"/>
      <c r="CP113" s="797"/>
      <c r="CQ113" s="797"/>
      <c r="CR113" s="797"/>
      <c r="CS113" s="797"/>
      <c r="CT113" s="797"/>
      <c r="CU113" s="797"/>
    </row>
    <row r="114" spans="1:99" x14ac:dyDescent="0.25">
      <c r="A114" s="256"/>
      <c r="B114" s="256"/>
      <c r="C114" s="292"/>
      <c r="D114" s="292"/>
      <c r="E114" s="292"/>
      <c r="F114" s="292"/>
      <c r="G114" s="292"/>
      <c r="H114" s="292"/>
      <c r="I114" s="292"/>
      <c r="J114" s="292"/>
      <c r="K114" s="292"/>
      <c r="L114" s="292"/>
      <c r="M114" s="292"/>
      <c r="N114" s="292"/>
      <c r="O114" s="292"/>
      <c r="P114" s="292"/>
      <c r="Q114" s="292"/>
      <c r="R114" s="292"/>
      <c r="S114" s="151"/>
      <c r="T114" s="277"/>
      <c r="U114" s="154"/>
      <c r="V114" s="154"/>
      <c r="W114" s="154"/>
      <c r="X114" s="154"/>
      <c r="Y114" s="161"/>
      <c r="Z114" s="161"/>
      <c r="AA114" s="161"/>
      <c r="AB114" s="161"/>
      <c r="AC114" s="161"/>
      <c r="AD114" s="161"/>
      <c r="AE114" s="161"/>
      <c r="AF114" s="161"/>
      <c r="AG114" s="161"/>
      <c r="AH114" s="152"/>
      <c r="AI114" s="152"/>
      <c r="AJ114" s="183"/>
      <c r="AK114" s="184"/>
      <c r="AL114" s="151"/>
      <c r="AM114" s="256"/>
      <c r="AN114" s="256"/>
      <c r="AO114" s="292"/>
      <c r="AP114" s="292"/>
      <c r="AQ114" s="292"/>
      <c r="AR114" s="292"/>
      <c r="AS114" s="292"/>
      <c r="AT114" s="292"/>
      <c r="AU114" s="292"/>
      <c r="AV114" s="292"/>
      <c r="AW114" s="292"/>
      <c r="AX114" s="292"/>
      <c r="AY114" s="292"/>
      <c r="AZ114" s="292"/>
      <c r="BA114" s="292"/>
      <c r="BB114" s="292"/>
      <c r="BC114" s="292"/>
      <c r="BD114" s="292"/>
      <c r="BE114" s="151"/>
      <c r="BF114" s="277"/>
      <c r="BG114" s="154"/>
      <c r="BH114" s="154"/>
      <c r="BI114" s="154"/>
      <c r="BJ114" s="154"/>
      <c r="BK114" s="161"/>
      <c r="BL114" s="161"/>
      <c r="BM114" s="161"/>
      <c r="BN114" s="161"/>
      <c r="BO114" s="161"/>
      <c r="BP114" s="161"/>
      <c r="BQ114" s="161"/>
      <c r="BR114" s="161"/>
      <c r="BS114" s="161"/>
      <c r="BT114" s="152"/>
      <c r="BU114" s="152"/>
      <c r="BV114" s="183"/>
      <c r="BW114" s="184"/>
      <c r="BX114" s="151"/>
      <c r="BY114" s="797"/>
      <c r="BZ114" s="797"/>
      <c r="CA114" s="797"/>
      <c r="CB114" s="797"/>
      <c r="CC114" s="797"/>
      <c r="CD114" s="797"/>
      <c r="CE114" s="797"/>
      <c r="CF114" s="797"/>
      <c r="CG114" s="797"/>
      <c r="CH114" s="797"/>
      <c r="CI114" s="797"/>
      <c r="CJ114" s="797"/>
      <c r="CK114" s="797"/>
      <c r="CL114" s="797"/>
      <c r="CM114" s="797"/>
      <c r="CN114" s="797"/>
      <c r="CO114" s="797"/>
      <c r="CP114" s="797"/>
      <c r="CQ114" s="797"/>
      <c r="CR114" s="797"/>
      <c r="CS114" s="797"/>
      <c r="CT114" s="797"/>
      <c r="CU114" s="797"/>
    </row>
    <row r="115" spans="1:99" x14ac:dyDescent="0.25">
      <c r="A115" s="376"/>
      <c r="B115" s="376"/>
      <c r="C115" s="3"/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151"/>
      <c r="T115" s="163"/>
      <c r="U115" s="163"/>
      <c r="V115" s="163"/>
      <c r="W115" s="163"/>
      <c r="X115" s="163"/>
      <c r="Y115" s="152"/>
      <c r="Z115" s="152"/>
      <c r="AA115" s="161"/>
      <c r="AB115" s="161"/>
      <c r="AC115" s="161"/>
      <c r="AD115" s="161"/>
      <c r="AE115" s="161"/>
      <c r="AF115" s="161"/>
      <c r="AG115" s="161"/>
      <c r="AH115" s="161"/>
      <c r="AI115" s="152"/>
      <c r="AJ115" s="191"/>
      <c r="AK115" s="192"/>
      <c r="AL115" s="151"/>
      <c r="AM115" s="376"/>
      <c r="AN115" s="376"/>
      <c r="AO115" s="3"/>
      <c r="AP115" s="88"/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88"/>
      <c r="BB115" s="88"/>
      <c r="BC115" s="88"/>
      <c r="BD115" s="88"/>
      <c r="BE115" s="151"/>
      <c r="BF115" s="163"/>
      <c r="BG115" s="163"/>
      <c r="BH115" s="163"/>
      <c r="BI115" s="163"/>
      <c r="BJ115" s="163"/>
      <c r="BK115" s="152"/>
      <c r="BL115" s="152"/>
      <c r="BM115" s="161"/>
      <c r="BN115" s="161"/>
      <c r="BO115" s="161"/>
      <c r="BP115" s="161"/>
      <c r="BQ115" s="161"/>
      <c r="BR115" s="161"/>
      <c r="BS115" s="161"/>
      <c r="BT115" s="161"/>
      <c r="BU115" s="152"/>
      <c r="BV115" s="191"/>
      <c r="BW115" s="192"/>
      <c r="BX115" s="151"/>
      <c r="BY115" s="797"/>
      <c r="BZ115" s="797"/>
      <c r="CA115" s="797"/>
      <c r="CB115" s="797"/>
      <c r="CC115" s="797"/>
      <c r="CD115" s="797"/>
      <c r="CE115" s="797"/>
      <c r="CF115" s="797"/>
      <c r="CG115" s="797"/>
      <c r="CH115" s="797"/>
      <c r="CI115" s="797"/>
      <c r="CJ115" s="797"/>
      <c r="CK115" s="797"/>
      <c r="CL115" s="797"/>
      <c r="CM115" s="797"/>
      <c r="CN115" s="797"/>
      <c r="CO115" s="797"/>
      <c r="CP115" s="797"/>
      <c r="CQ115" s="797"/>
      <c r="CR115" s="797"/>
      <c r="CS115" s="797"/>
      <c r="CT115" s="797"/>
      <c r="CU115" s="797"/>
    </row>
    <row r="116" spans="1:99" x14ac:dyDescent="0.25">
      <c r="A116" s="3"/>
      <c r="B116" s="3"/>
      <c r="C116" s="3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151"/>
      <c r="T116" s="163"/>
      <c r="U116" s="163"/>
      <c r="V116" s="154"/>
      <c r="W116" s="154"/>
      <c r="X116" s="154"/>
      <c r="Y116" s="161"/>
      <c r="Z116" s="161"/>
      <c r="AA116" s="161"/>
      <c r="AB116" s="161"/>
      <c r="AC116" s="161"/>
      <c r="AD116" s="161"/>
      <c r="AE116" s="161"/>
      <c r="AF116" s="161"/>
      <c r="AG116" s="161"/>
      <c r="AH116" s="161"/>
      <c r="AI116" s="152"/>
      <c r="AJ116" s="149"/>
      <c r="AK116" s="192"/>
      <c r="AL116" s="151"/>
      <c r="AM116" s="3"/>
      <c r="AN116" s="3"/>
      <c r="AO116" s="3"/>
      <c r="AP116" s="88"/>
      <c r="AQ116" s="88"/>
      <c r="AR116" s="88"/>
      <c r="AS116" s="88"/>
      <c r="AT116" s="88"/>
      <c r="AU116" s="88"/>
      <c r="AV116" s="88"/>
      <c r="AW116" s="88"/>
      <c r="AX116" s="88"/>
      <c r="AY116" s="88"/>
      <c r="AZ116" s="88"/>
      <c r="BA116" s="88"/>
      <c r="BB116" s="88"/>
      <c r="BC116" s="88"/>
      <c r="BD116" s="88"/>
      <c r="BE116" s="151"/>
      <c r="BF116" s="163"/>
      <c r="BG116" s="163"/>
      <c r="BH116" s="154"/>
      <c r="BI116" s="154"/>
      <c r="BJ116" s="154"/>
      <c r="BK116" s="161"/>
      <c r="BL116" s="161"/>
      <c r="BM116" s="161"/>
      <c r="BN116" s="161"/>
      <c r="BO116" s="161"/>
      <c r="BP116" s="161"/>
      <c r="BQ116" s="161"/>
      <c r="BR116" s="161"/>
      <c r="BS116" s="161"/>
      <c r="BT116" s="161"/>
      <c r="BU116" s="152"/>
      <c r="BV116" s="149"/>
      <c r="BW116" s="192"/>
      <c r="BX116" s="151"/>
      <c r="BY116" s="797"/>
      <c r="BZ116" s="797"/>
      <c r="CA116" s="797"/>
      <c r="CB116" s="797"/>
      <c r="CC116" s="797"/>
      <c r="CD116" s="797"/>
      <c r="CE116" s="797"/>
      <c r="CF116" s="797"/>
      <c r="CG116" s="797"/>
      <c r="CH116" s="797"/>
      <c r="CI116" s="797"/>
      <c r="CJ116" s="797"/>
      <c r="CK116" s="797"/>
      <c r="CL116" s="797"/>
      <c r="CM116" s="797"/>
      <c r="CN116" s="797"/>
      <c r="CO116" s="797"/>
      <c r="CP116" s="797"/>
      <c r="CQ116" s="797"/>
      <c r="CR116" s="797"/>
      <c r="CS116" s="797"/>
      <c r="CT116" s="797"/>
      <c r="CU116" s="797"/>
    </row>
    <row r="117" spans="1:99" x14ac:dyDescent="0.25">
      <c r="A117" s="3"/>
      <c r="B117" s="3"/>
      <c r="C117" s="3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151"/>
      <c r="T117" s="163"/>
      <c r="U117" s="154"/>
      <c r="V117" s="154"/>
      <c r="W117" s="154"/>
      <c r="X117" s="154"/>
      <c r="Y117" s="161"/>
      <c r="Z117" s="161"/>
      <c r="AA117" s="191"/>
      <c r="AB117" s="161"/>
      <c r="AC117" s="161"/>
      <c r="AD117" s="161"/>
      <c r="AE117" s="161"/>
      <c r="AF117" s="161"/>
      <c r="AG117" s="161"/>
      <c r="AH117" s="152"/>
      <c r="AI117" s="161"/>
      <c r="AJ117" s="162"/>
      <c r="AK117" s="200"/>
      <c r="AL117" s="151"/>
      <c r="AM117" s="3"/>
      <c r="AN117" s="3"/>
      <c r="AO117" s="3"/>
      <c r="AP117" s="88"/>
      <c r="AQ117" s="88"/>
      <c r="AR117" s="88"/>
      <c r="AS117" s="88"/>
      <c r="AT117" s="88"/>
      <c r="AU117" s="88"/>
      <c r="AV117" s="88"/>
      <c r="AW117" s="88"/>
      <c r="AX117" s="88"/>
      <c r="AY117" s="88"/>
      <c r="AZ117" s="88"/>
      <c r="BA117" s="88"/>
      <c r="BB117" s="88"/>
      <c r="BC117" s="88"/>
      <c r="BD117" s="88"/>
      <c r="BE117" s="151"/>
      <c r="BF117" s="163"/>
      <c r="BG117" s="154"/>
      <c r="BH117" s="154"/>
      <c r="BI117" s="154"/>
      <c r="BJ117" s="154"/>
      <c r="BK117" s="161"/>
      <c r="BL117" s="161"/>
      <c r="BM117" s="191"/>
      <c r="BN117" s="161"/>
      <c r="BO117" s="161"/>
      <c r="BP117" s="161"/>
      <c r="BQ117" s="161"/>
      <c r="BR117" s="161"/>
      <c r="BS117" s="161"/>
      <c r="BT117" s="152"/>
      <c r="BU117" s="161"/>
      <c r="BV117" s="162"/>
      <c r="BW117" s="200"/>
      <c r="BX117" s="151"/>
      <c r="BY117" s="797"/>
      <c r="BZ117" s="797"/>
      <c r="CA117" s="797"/>
      <c r="CB117" s="797"/>
      <c r="CC117" s="797"/>
      <c r="CD117" s="797"/>
      <c r="CE117" s="797"/>
      <c r="CF117" s="797"/>
      <c r="CG117" s="797"/>
      <c r="CH117" s="797"/>
      <c r="CI117" s="797"/>
      <c r="CJ117" s="797"/>
      <c r="CK117" s="797"/>
      <c r="CL117" s="797"/>
      <c r="CM117" s="797"/>
      <c r="CN117" s="797"/>
      <c r="CO117" s="797"/>
      <c r="CP117" s="797"/>
      <c r="CQ117" s="797"/>
      <c r="CR117" s="797"/>
      <c r="CS117" s="797"/>
      <c r="CT117" s="797"/>
      <c r="CU117" s="797"/>
    </row>
    <row r="118" spans="1:99" x14ac:dyDescent="0.25">
      <c r="A118" s="152">
        <f>P133</f>
        <v>225.07597100559303</v>
      </c>
      <c r="B118" s="153">
        <f>(A118*10^0.125)</f>
        <v>300.14363120092918</v>
      </c>
      <c r="C118" s="154">
        <f>INT(B118)</f>
        <v>300</v>
      </c>
      <c r="D118" s="154">
        <f>C118*4</f>
        <v>1200</v>
      </c>
      <c r="E118" s="154">
        <f>D118/5</f>
        <v>240</v>
      </c>
      <c r="F118" s="149">
        <f>E118^2</f>
        <v>57600</v>
      </c>
      <c r="G118" s="149">
        <f>(F118^0.125)</f>
        <v>3.9359793425308607</v>
      </c>
      <c r="H118" s="149">
        <f>G118/3</f>
        <v>1.3119931141769536</v>
      </c>
      <c r="I118" s="149">
        <f>(H118*100)</f>
        <v>131.19931141769536</v>
      </c>
      <c r="J118" s="149">
        <f>(F118/100)</f>
        <v>576</v>
      </c>
      <c r="K118" s="149">
        <f>(J118+I118)/2</f>
        <v>353.59965570884765</v>
      </c>
      <c r="L118" s="149">
        <f>(K118+I118)/2</f>
        <v>242.3994835632715</v>
      </c>
      <c r="M118" s="149">
        <f>(L118+A118)/2</f>
        <v>233.73772728443225</v>
      </c>
      <c r="N118" s="149">
        <f>M118*100^0.5</f>
        <v>2337.3772728443228</v>
      </c>
      <c r="O118" s="149">
        <f>INT(N118)/10</f>
        <v>233.7</v>
      </c>
      <c r="P118" s="149">
        <f>(O118)^2/10000</f>
        <v>5.4615689999999999</v>
      </c>
      <c r="Q118" s="149">
        <f>(P118+I118+M118)/3</f>
        <v>123.46620256737587</v>
      </c>
      <c r="R118" s="150">
        <f>Q123^0.5</f>
        <v>31.927371044724204</v>
      </c>
      <c r="S118" s="151"/>
      <c r="T118" s="152">
        <f>AI133</f>
        <v>221.81400041130908</v>
      </c>
      <c r="U118" s="153">
        <f>(T118*10^0.125)</f>
        <v>295.79372350236503</v>
      </c>
      <c r="V118" s="154">
        <f>INT(U118)</f>
        <v>295</v>
      </c>
      <c r="W118" s="154">
        <f>V118*4</f>
        <v>1180</v>
      </c>
      <c r="X118" s="154">
        <f>W118/5</f>
        <v>236</v>
      </c>
      <c r="Y118" s="149">
        <f>X118^2</f>
        <v>55696</v>
      </c>
      <c r="Z118" s="149">
        <f>(Y118^0.125)</f>
        <v>3.9194759210559287</v>
      </c>
      <c r="AA118" s="149">
        <f>Z118/3</f>
        <v>1.3064919736853096</v>
      </c>
      <c r="AB118" s="149">
        <f>(AA118*100)</f>
        <v>130.64919736853096</v>
      </c>
      <c r="AC118" s="149">
        <f>(Y118/100)</f>
        <v>556.96</v>
      </c>
      <c r="AD118" s="149">
        <f>(AC118+AB118)/2</f>
        <v>343.8045986842655</v>
      </c>
      <c r="AE118" s="149">
        <f>(AD118+AB118)/2</f>
        <v>237.22689802639823</v>
      </c>
      <c r="AF118" s="149">
        <f>(AE118+T118)/2</f>
        <v>229.52044921885366</v>
      </c>
      <c r="AG118" s="149">
        <f>AF118*100^0.5</f>
        <v>2295.2044921885367</v>
      </c>
      <c r="AH118" s="149">
        <f>INT(AG118)/10</f>
        <v>229.5</v>
      </c>
      <c r="AI118" s="149">
        <f>(AH118)^2/10000</f>
        <v>5.2670250000000003</v>
      </c>
      <c r="AJ118" s="149">
        <f>(AI118+AB118+AF118)/3</f>
        <v>121.81222386246152</v>
      </c>
      <c r="AK118" s="150">
        <f>AJ123^0.5</f>
        <v>31.927371044724204</v>
      </c>
      <c r="AL118" s="151"/>
      <c r="AM118" s="152">
        <f>BB133</f>
        <v>226.24032826380054</v>
      </c>
      <c r="AN118" s="153">
        <f>(AM118*10^0.125)</f>
        <v>301.69632655944383</v>
      </c>
      <c r="AO118" s="154">
        <f>INT(AN118)</f>
        <v>301</v>
      </c>
      <c r="AP118" s="154">
        <f>AO118*4</f>
        <v>1204</v>
      </c>
      <c r="AQ118" s="154">
        <f>AP118/5</f>
        <v>240.8</v>
      </c>
      <c r="AR118" s="149">
        <f>AQ118^2</f>
        <v>57984.640000000007</v>
      </c>
      <c r="AS118" s="149">
        <f>(AR118^0.125)</f>
        <v>3.9392552332917776</v>
      </c>
      <c r="AT118" s="149">
        <f>AS118/3</f>
        <v>1.3130850777639258</v>
      </c>
      <c r="AU118" s="149">
        <f>(AT118*100)</f>
        <v>131.30850777639259</v>
      </c>
      <c r="AV118" s="149">
        <f>(AR118/100)</f>
        <v>579.84640000000002</v>
      </c>
      <c r="AW118" s="149">
        <f>(AV118+AU118)/2</f>
        <v>355.57745388819632</v>
      </c>
      <c r="AX118" s="149">
        <f>(AW118+AU118)/2</f>
        <v>243.44298083229444</v>
      </c>
      <c r="AY118" s="149">
        <f>(AX118+AM118)/2</f>
        <v>234.84165454804747</v>
      </c>
      <c r="AZ118" s="149">
        <f>AY118*100^0.5</f>
        <v>2348.4165454804747</v>
      </c>
      <c r="BA118" s="149">
        <f>INT(AZ118)/10</f>
        <v>234.8</v>
      </c>
      <c r="BB118" s="149">
        <f>(BA118)^2/10000</f>
        <v>5.5131040000000011</v>
      </c>
      <c r="BC118" s="149">
        <f>(BB118+AU118+AY118)/3</f>
        <v>123.88775544148002</v>
      </c>
      <c r="BD118" s="150">
        <f>BC123^0.5</f>
        <v>35.578858176638263</v>
      </c>
      <c r="BE118" s="151"/>
      <c r="BF118" s="152">
        <f>BU133</f>
        <v>221.03940117727637</v>
      </c>
      <c r="BG118" s="153">
        <f>(BF118*10^0.125)</f>
        <v>294.7607788224451</v>
      </c>
      <c r="BH118" s="154">
        <f>INT(BG118)</f>
        <v>294</v>
      </c>
      <c r="BI118" s="154">
        <f>BH118*4</f>
        <v>1176</v>
      </c>
      <c r="BJ118" s="154">
        <f>BI118/5</f>
        <v>235.2</v>
      </c>
      <c r="BK118" s="149">
        <f>BJ118^2</f>
        <v>55319.039999999994</v>
      </c>
      <c r="BL118" s="149">
        <f>(BK118^0.125)</f>
        <v>3.9161501005636454</v>
      </c>
      <c r="BM118" s="149">
        <f>BL118/3</f>
        <v>1.3053833668545485</v>
      </c>
      <c r="BN118" s="149">
        <f>(BM118*100)</f>
        <v>130.53833668545485</v>
      </c>
      <c r="BO118" s="149">
        <f>(BK118/100)</f>
        <v>553.19039999999995</v>
      </c>
      <c r="BP118" s="149">
        <f>(BO118+BN118)/2</f>
        <v>341.8643683427274</v>
      </c>
      <c r="BQ118" s="149">
        <f>(BP118+BN118)/2</f>
        <v>236.20135251409113</v>
      </c>
      <c r="BR118" s="149">
        <f>(BQ118+BF118)/2</f>
        <v>228.62037684568375</v>
      </c>
      <c r="BS118" s="149">
        <f>BR118*100^0.5</f>
        <v>2286.2037684568377</v>
      </c>
      <c r="BT118" s="149">
        <f>INT(BS118)/10</f>
        <v>228.6</v>
      </c>
      <c r="BU118" s="149">
        <f>(BT118)^2/10000</f>
        <v>5.2257959999999999</v>
      </c>
      <c r="BV118" s="149">
        <f>(BU118+BN118+BR118)/3</f>
        <v>121.46150317704621</v>
      </c>
      <c r="BW118" s="150">
        <f>BV123^0.5</f>
        <v>35.578858176638263</v>
      </c>
      <c r="BX118" s="151"/>
      <c r="BY118" s="797"/>
      <c r="BZ118" s="797"/>
      <c r="CA118" s="797"/>
      <c r="CB118" s="797"/>
      <c r="CC118" s="797"/>
      <c r="CD118" s="797"/>
      <c r="CE118" s="797"/>
      <c r="CF118" s="797"/>
      <c r="CG118" s="797"/>
      <c r="CH118" s="797"/>
      <c r="CI118" s="797"/>
      <c r="CJ118" s="797"/>
      <c r="CK118" s="797"/>
      <c r="CL118" s="797"/>
      <c r="CM118" s="797"/>
      <c r="CN118" s="797"/>
      <c r="CO118" s="797"/>
      <c r="CP118" s="797"/>
      <c r="CQ118" s="797"/>
      <c r="CR118" s="797"/>
      <c r="CS118" s="797"/>
      <c r="CT118" s="797"/>
      <c r="CU118" s="797"/>
    </row>
    <row r="119" spans="1:99" x14ac:dyDescent="0.25">
      <c r="A119" s="163">
        <f>(O120-O119)</f>
        <v>2.8825337828839963</v>
      </c>
      <c r="B119" s="153">
        <f>(B120+A121)/2</f>
        <v>218.59262435011848</v>
      </c>
      <c r="C119" s="164">
        <f>(D121*C121*B121*C120*D120*A119)</f>
        <v>1334986128105.0806</v>
      </c>
      <c r="D119" s="154">
        <f>(C120*C119*A119)</f>
        <v>1905407625.5274889</v>
      </c>
      <c r="E119" s="163">
        <f>INT(A119+1)</f>
        <v>3</v>
      </c>
      <c r="F119" s="165">
        <f>(Q131*-1)</f>
        <v>-15.925886571255917</v>
      </c>
      <c r="G119" s="161"/>
      <c r="H119" s="152">
        <f>IF(F119&gt;0,-1,1)</f>
        <v>1</v>
      </c>
      <c r="I119" s="161"/>
      <c r="J119" s="161"/>
      <c r="K119" s="161"/>
      <c r="L119" s="161"/>
      <c r="M119" s="161"/>
      <c r="N119" s="161">
        <f>(M118+O118)/2</f>
        <v>233.71886364221612</v>
      </c>
      <c r="O119" s="161">
        <f>N119-A118</f>
        <v>8.6428926366230883</v>
      </c>
      <c r="P119" s="161">
        <f>(Q123+R121)/2</f>
        <v>1000.3376489137468</v>
      </c>
      <c r="Q119" s="162">
        <f>(Q122*A119*100)</f>
        <v>816.25712217922785</v>
      </c>
      <c r="R119" s="150">
        <f>INT(R118)+0.326</f>
        <v>31.326000000000001</v>
      </c>
      <c r="S119" s="151"/>
      <c r="T119" s="163">
        <f>(AH120-AH119)</f>
        <v>4.055783413988479</v>
      </c>
      <c r="U119" s="153">
        <f>(U120+T121)/2</f>
        <v>214.92405075175884</v>
      </c>
      <c r="V119" s="164">
        <f>(W121*V121*U121*V120*W120*T119)</f>
        <v>47906108183027.047</v>
      </c>
      <c r="W119" s="154">
        <f>(V120*V119*T119)</f>
        <v>45319956894.528694</v>
      </c>
      <c r="X119" s="163">
        <f>INT(T119+1)</f>
        <v>5</v>
      </c>
      <c r="Y119" s="165">
        <f>(AJ131*-1)</f>
        <v>-176.37286700153032</v>
      </c>
      <c r="Z119" s="161"/>
      <c r="AA119" s="152">
        <f>IF(Y119&gt;0,-1,1)</f>
        <v>1</v>
      </c>
      <c r="AB119" s="161"/>
      <c r="AC119" s="161"/>
      <c r="AD119" s="161"/>
      <c r="AE119" s="161"/>
      <c r="AF119" s="161"/>
      <c r="AG119" s="161">
        <f>(AF118+AH118)/2</f>
        <v>229.51022460942681</v>
      </c>
      <c r="AH119" s="161">
        <f>AG119-T118</f>
        <v>7.6962241981177328</v>
      </c>
      <c r="AI119" s="161">
        <f>(AJ123+AK121)/2</f>
        <v>1000.3376489137468</v>
      </c>
      <c r="AJ119" s="162">
        <f>(AJ122*T119*100)</f>
        <v>1084.6004755057365</v>
      </c>
      <c r="AK119" s="150">
        <f>INT(AK118)+0.326</f>
        <v>31.326000000000001</v>
      </c>
      <c r="AL119" s="151"/>
      <c r="AM119" s="163">
        <f>(BA120-BA119)</f>
        <v>3.2039778539613906</v>
      </c>
      <c r="AN119" s="153">
        <f>(AN120+AM121)/2</f>
        <v>219.5470953682179</v>
      </c>
      <c r="AO119" s="164">
        <f>(AP121*AO121*AN121*AO120*AP120*AM119)</f>
        <v>4408819373329.1494</v>
      </c>
      <c r="AP119" s="154">
        <f>(AO120*AO119*AM119)</f>
        <v>5380845504.2413177</v>
      </c>
      <c r="AQ119" s="163">
        <f>INT(AM119+1)</f>
        <v>4</v>
      </c>
      <c r="AR119" s="165">
        <f>(BC131*-1)</f>
        <v>-81.664313904944109</v>
      </c>
      <c r="AS119" s="161"/>
      <c r="AT119" s="152">
        <f>IF(AR119&gt;0,-1,1)</f>
        <v>1</v>
      </c>
      <c r="AU119" s="161"/>
      <c r="AV119" s="161"/>
      <c r="AW119" s="161"/>
      <c r="AX119" s="161"/>
      <c r="AY119" s="161"/>
      <c r="AZ119" s="161">
        <f>(AY118+BA118)/2</f>
        <v>234.82082727402374</v>
      </c>
      <c r="BA119" s="161">
        <f>AZ119-AM118</f>
        <v>8.5804990102232068</v>
      </c>
      <c r="BB119" s="161">
        <f>(BC123+BD121)/2</f>
        <v>1256.8907125766696</v>
      </c>
      <c r="BC119" s="162">
        <f>(BC122*AM119*100)</f>
        <v>864.44680453644537</v>
      </c>
      <c r="BD119" s="150">
        <f>INT(BD118)+0.326</f>
        <v>35.326000000000001</v>
      </c>
      <c r="BE119" s="151"/>
      <c r="BF119" s="163">
        <f>(BT120-BT119)</f>
        <v>4.1505924432157713</v>
      </c>
      <c r="BG119" s="153">
        <f>(BG120+BF121)/2</f>
        <v>214.14106322208181</v>
      </c>
      <c r="BH119" s="164">
        <f>(BI121*BH121*BG121*BH120*BI120*BF119)</f>
        <v>59902180188181.242</v>
      </c>
      <c r="BI119" s="154">
        <f>(BH120*BH119*BF119)</f>
        <v>55467991275.485374</v>
      </c>
      <c r="BJ119" s="163">
        <f>INT(BF119+1)</f>
        <v>5</v>
      </c>
      <c r="BK119" s="165">
        <f>(BV131*-1)</f>
        <v>-266.55529345258202</v>
      </c>
      <c r="BL119" s="161"/>
      <c r="BM119" s="152">
        <f>IF(BK119&gt;0,-1,1)</f>
        <v>1</v>
      </c>
      <c r="BN119" s="161"/>
      <c r="BO119" s="161"/>
      <c r="BP119" s="161"/>
      <c r="BQ119" s="161"/>
      <c r="BR119" s="161"/>
      <c r="BS119" s="161">
        <f>(BR118+BT118)/2</f>
        <v>228.61018842284187</v>
      </c>
      <c r="BT119" s="161">
        <f>BS119-BF118</f>
        <v>7.5707872455654979</v>
      </c>
      <c r="BU119" s="161">
        <f>(BV123+BW121)/2</f>
        <v>1256.8907125766696</v>
      </c>
      <c r="BV119" s="162">
        <f>(BV122*BF119*100)</f>
        <v>993.28401566102218</v>
      </c>
      <c r="BW119" s="150">
        <f>INT(BW118)+0.326</f>
        <v>35.326000000000001</v>
      </c>
      <c r="BX119" s="151"/>
      <c r="BY119" s="797"/>
      <c r="BZ119" s="797"/>
      <c r="CA119" s="797"/>
      <c r="CB119" s="797"/>
      <c r="CC119" s="797"/>
      <c r="CD119" s="797"/>
      <c r="CE119" s="797"/>
      <c r="CF119" s="797"/>
      <c r="CG119" s="797"/>
      <c r="CH119" s="797"/>
      <c r="CI119" s="797"/>
      <c r="CJ119" s="797"/>
      <c r="CK119" s="797"/>
      <c r="CL119" s="797"/>
      <c r="CM119" s="797"/>
      <c r="CN119" s="797"/>
      <c r="CO119" s="797"/>
      <c r="CP119" s="797"/>
      <c r="CQ119" s="797"/>
      <c r="CR119" s="797"/>
      <c r="CS119" s="797"/>
      <c r="CT119" s="797"/>
      <c r="CU119" s="797"/>
    </row>
    <row r="120" spans="1:99" x14ac:dyDescent="0.25">
      <c r="A120" s="163">
        <f>N119</f>
        <v>233.71886364221612</v>
      </c>
      <c r="B120" s="172">
        <f>(N119+N121)/2</f>
        <v>223.63470411415102</v>
      </c>
      <c r="C120" s="154">
        <f>(A119/D121)</f>
        <v>4.9514995068605859E-4</v>
      </c>
      <c r="D120" s="154">
        <f>(A119+B121+C121+D121)</f>
        <v>13665.546856771514</v>
      </c>
      <c r="E120" s="173">
        <f>(E119*C121)</f>
        <v>6058.770673092723</v>
      </c>
      <c r="F120" s="174"/>
      <c r="G120" s="161"/>
      <c r="H120" s="161"/>
      <c r="I120" s="161"/>
      <c r="J120" s="161"/>
      <c r="K120" s="161"/>
      <c r="L120" s="161"/>
      <c r="M120" s="161">
        <f>(N119+N121)/2</f>
        <v>223.63470411415102</v>
      </c>
      <c r="N120" s="161">
        <f>(I118+N119)/2</f>
        <v>182.45908752995575</v>
      </c>
      <c r="O120" s="161">
        <f>A118-N121</f>
        <v>11.525426419507085</v>
      </c>
      <c r="P120" s="161"/>
      <c r="Q120" s="149"/>
      <c r="R120" s="171"/>
      <c r="S120" s="151"/>
      <c r="T120" s="163">
        <f>AG119</f>
        <v>229.51022460942681</v>
      </c>
      <c r="U120" s="172">
        <f>(AG119+AG121)/2</f>
        <v>219.78610870431484</v>
      </c>
      <c r="V120" s="154">
        <f>(T119/W121)</f>
        <v>2.3325117618186504E-4</v>
      </c>
      <c r="W120" s="154">
        <f>(T119+U121+V121+W121)</f>
        <v>39067.382181702778</v>
      </c>
      <c r="X120" s="173">
        <f>(X119*V121)</f>
        <v>21436.11913065561</v>
      </c>
      <c r="Y120" s="174"/>
      <c r="Z120" s="161"/>
      <c r="AA120" s="161"/>
      <c r="AB120" s="161"/>
      <c r="AC120" s="161"/>
      <c r="AD120" s="161"/>
      <c r="AE120" s="161"/>
      <c r="AF120" s="161">
        <f>(AG119+AG121)/2</f>
        <v>219.78610870431484</v>
      </c>
      <c r="AG120" s="161">
        <f>(AB118+AG119)/2</f>
        <v>180.07971098897889</v>
      </c>
      <c r="AH120" s="161">
        <f>T118-AG121</f>
        <v>11.752007612106212</v>
      </c>
      <c r="AI120" s="161"/>
      <c r="AJ120" s="149"/>
      <c r="AK120" s="171"/>
      <c r="AL120" s="151"/>
      <c r="AM120" s="163">
        <f>AZ119</f>
        <v>234.82082727402374</v>
      </c>
      <c r="AN120" s="172">
        <f>(AZ119+AZ121)/2</f>
        <v>224.63833933681985</v>
      </c>
      <c r="AO120" s="154">
        <f>(AM119/AP121)</f>
        <v>3.8092432857132058E-4</v>
      </c>
      <c r="AP120" s="154">
        <f>(AM119+AN121+AO121+AP121)</f>
        <v>19450.519762872893</v>
      </c>
      <c r="AQ120" s="173">
        <f>(AQ119*AO121)</f>
        <v>10500.773250693224</v>
      </c>
      <c r="AR120" s="174"/>
      <c r="AS120" s="161"/>
      <c r="AT120" s="161"/>
      <c r="AU120" s="161"/>
      <c r="AV120" s="161"/>
      <c r="AW120" s="161"/>
      <c r="AX120" s="161"/>
      <c r="AY120" s="161">
        <f>(AZ119+AZ121)/2</f>
        <v>224.63833933681985</v>
      </c>
      <c r="AZ120" s="161">
        <f>(AU118+AZ119)/2</f>
        <v>183.06466752520816</v>
      </c>
      <c r="BA120" s="161">
        <f>AM118-AZ121</f>
        <v>11.784476864184597</v>
      </c>
      <c r="BB120" s="161"/>
      <c r="BC120" s="149"/>
      <c r="BD120" s="171"/>
      <c r="BE120" s="151"/>
      <c r="BF120" s="163">
        <f>BS119</f>
        <v>228.61018842284187</v>
      </c>
      <c r="BG120" s="172">
        <f>(BS119+BS121)/2</f>
        <v>218.96410495566849</v>
      </c>
      <c r="BH120" s="154">
        <f>(BF119/BI121)</f>
        <v>2.2309493905629352E-4</v>
      </c>
      <c r="BI120" s="154">
        <f>(BF119+BG121+BH121+BI121)</f>
        <v>41695.750257483465</v>
      </c>
      <c r="BJ120" s="173">
        <f>(BJ119*BH121)</f>
        <v>22411.983082854025</v>
      </c>
      <c r="BK120" s="174"/>
      <c r="BL120" s="161"/>
      <c r="BM120" s="161"/>
      <c r="BN120" s="161"/>
      <c r="BO120" s="161"/>
      <c r="BP120" s="161"/>
      <c r="BQ120" s="161"/>
      <c r="BR120" s="161">
        <f>(BS119+BS121)/2</f>
        <v>218.96410495566849</v>
      </c>
      <c r="BS120" s="161">
        <f>(BN118+BS119)/2</f>
        <v>179.57426255414836</v>
      </c>
      <c r="BT120" s="161">
        <f>BF118-BS121</f>
        <v>11.721379688781269</v>
      </c>
      <c r="BU120" s="161"/>
      <c r="BV120" s="149"/>
      <c r="BW120" s="171"/>
      <c r="BX120" s="151"/>
      <c r="BY120" s="797"/>
      <c r="BZ120" s="797"/>
      <c r="CA120" s="797"/>
      <c r="CB120" s="797"/>
      <c r="CC120" s="797"/>
      <c r="CD120" s="797"/>
      <c r="CE120" s="797"/>
      <c r="CF120" s="797"/>
      <c r="CG120" s="797"/>
      <c r="CH120" s="797"/>
      <c r="CI120" s="797"/>
      <c r="CJ120" s="797"/>
      <c r="CK120" s="797"/>
      <c r="CL120" s="797"/>
      <c r="CM120" s="797"/>
      <c r="CN120" s="797"/>
      <c r="CO120" s="797"/>
      <c r="CP120" s="797"/>
      <c r="CQ120" s="797"/>
      <c r="CR120" s="797"/>
      <c r="CS120" s="797"/>
      <c r="CT120" s="797"/>
      <c r="CU120" s="797"/>
    </row>
    <row r="121" spans="1:99" x14ac:dyDescent="0.25">
      <c r="A121" s="277">
        <f>N121</f>
        <v>213.55054458608595</v>
      </c>
      <c r="B121" s="153">
        <f>G127</f>
        <v>5821.5370493121945</v>
      </c>
      <c r="C121" s="154">
        <f>(B121/A119)</f>
        <v>2019.5902243642411</v>
      </c>
      <c r="D121" s="154">
        <f>(A119*C121)</f>
        <v>5821.5370493121945</v>
      </c>
      <c r="E121" s="163">
        <f>INT(A119)+1</f>
        <v>3</v>
      </c>
      <c r="F121" s="174">
        <f>(Q131)</f>
        <v>15.925886571255917</v>
      </c>
      <c r="G121" s="161"/>
      <c r="H121" s="152">
        <f>IF(F119&lt;0,1,-1)</f>
        <v>1</v>
      </c>
      <c r="I121" s="161"/>
      <c r="J121" s="161"/>
      <c r="K121" s="161"/>
      <c r="L121" s="161"/>
      <c r="M121" s="161">
        <f>(N120+P118*2)</f>
        <v>193.38222552995575</v>
      </c>
      <c r="N121" s="161">
        <f>(N119+M121)/2</f>
        <v>213.55054458608595</v>
      </c>
      <c r="O121" s="161">
        <f>(N120+J118)/2</f>
        <v>379.22954376497785</v>
      </c>
      <c r="P121" s="152">
        <f>IF(Q131&gt;1,-1,1)</f>
        <v>-1</v>
      </c>
      <c r="Q121" s="162">
        <f>F129-F126</f>
        <v>-1.185076354167256</v>
      </c>
      <c r="R121" s="150">
        <f>R119^2</f>
        <v>981.31827600000008</v>
      </c>
      <c r="S121" s="151"/>
      <c r="T121" s="277">
        <f>AG121</f>
        <v>210.06199279920287</v>
      </c>
      <c r="U121" s="153">
        <f>Z127</f>
        <v>17388.051286078833</v>
      </c>
      <c r="V121" s="154">
        <f>(U121/T119)</f>
        <v>4287.2238261311222</v>
      </c>
      <c r="W121" s="154">
        <f>(T119*V121)</f>
        <v>17388.051286078833</v>
      </c>
      <c r="X121" s="163">
        <f>INT(T119)+1</f>
        <v>5</v>
      </c>
      <c r="Y121" s="174">
        <f>(AJ131)</f>
        <v>176.37286700153032</v>
      </c>
      <c r="Z121" s="161"/>
      <c r="AA121" s="152">
        <f>IF(Y119&lt;0,1,-1)</f>
        <v>1</v>
      </c>
      <c r="AB121" s="161"/>
      <c r="AC121" s="161"/>
      <c r="AD121" s="161"/>
      <c r="AE121" s="161"/>
      <c r="AF121" s="161">
        <f>(AG120+AI118*2)</f>
        <v>190.6137609889789</v>
      </c>
      <c r="AG121" s="161">
        <f>(AG119+AF121)/2</f>
        <v>210.06199279920287</v>
      </c>
      <c r="AH121" s="161">
        <f>(AG120+AC118)/2</f>
        <v>368.51985549448943</v>
      </c>
      <c r="AI121" s="152">
        <f>IF(AJ131&gt;1,-1,1)</f>
        <v>-1</v>
      </c>
      <c r="AJ121" s="162">
        <f>Y129-Y126</f>
        <v>-1.8604182592442147</v>
      </c>
      <c r="AK121" s="150">
        <f>AK119^2</f>
        <v>981.31827600000008</v>
      </c>
      <c r="AL121" s="151"/>
      <c r="AM121" s="277">
        <f>AZ121</f>
        <v>214.45585139961594</v>
      </c>
      <c r="AN121" s="153">
        <f>AS127</f>
        <v>8411.0612361728126</v>
      </c>
      <c r="AO121" s="154">
        <f>(AN121/AM119)</f>
        <v>2625.1933126733061</v>
      </c>
      <c r="AP121" s="154">
        <f>(AM119*AO121)</f>
        <v>8411.0612361728126</v>
      </c>
      <c r="AQ121" s="163">
        <f>INT(AM119)+1</f>
        <v>4</v>
      </c>
      <c r="AR121" s="174">
        <f>(BC131)</f>
        <v>81.664313904944109</v>
      </c>
      <c r="AS121" s="161"/>
      <c r="AT121" s="152">
        <f>IF(AR119&lt;0,1,-1)</f>
        <v>1</v>
      </c>
      <c r="AU121" s="161"/>
      <c r="AV121" s="161"/>
      <c r="AW121" s="161"/>
      <c r="AX121" s="161"/>
      <c r="AY121" s="161">
        <f>(AZ120+BB118*2)</f>
        <v>194.09087552520816</v>
      </c>
      <c r="AZ121" s="161">
        <f>(AZ119+AY121)/2</f>
        <v>214.45585139961594</v>
      </c>
      <c r="BA121" s="161">
        <f>(AZ120+AV118)/2</f>
        <v>381.45553376260409</v>
      </c>
      <c r="BB121" s="152">
        <f>IF(BC131&gt;1,-1,1)</f>
        <v>-1</v>
      </c>
      <c r="BC121" s="162">
        <f>AR129-AR126</f>
        <v>-1.4915052458225597</v>
      </c>
      <c r="BD121" s="150">
        <f>BD119^2</f>
        <v>1247.9262760000001</v>
      </c>
      <c r="BE121" s="151"/>
      <c r="BF121" s="277">
        <f>BS121</f>
        <v>209.31802148849511</v>
      </c>
      <c r="BG121" s="153">
        <f>BL127</f>
        <v>18604.601524234724</v>
      </c>
      <c r="BH121" s="154">
        <f>(BG121/BF119)</f>
        <v>4482.3966165708052</v>
      </c>
      <c r="BI121" s="154">
        <f>(BF119*BH121)</f>
        <v>18604.601524234724</v>
      </c>
      <c r="BJ121" s="163">
        <f>INT(BF119)+1</f>
        <v>5</v>
      </c>
      <c r="BK121" s="174">
        <f>(BV131)</f>
        <v>266.55529345258202</v>
      </c>
      <c r="BL121" s="161"/>
      <c r="BM121" s="152">
        <f>IF(BK119&lt;0,1,-1)</f>
        <v>1</v>
      </c>
      <c r="BN121" s="161"/>
      <c r="BO121" s="161"/>
      <c r="BP121" s="161"/>
      <c r="BQ121" s="161"/>
      <c r="BR121" s="161">
        <f>(BS120+BU118*2)</f>
        <v>190.02585455414837</v>
      </c>
      <c r="BS121" s="161">
        <f>(BS119+BR121)/2</f>
        <v>209.31802148849511</v>
      </c>
      <c r="BT121" s="161">
        <f>(BS120+BO118)/2</f>
        <v>366.38233127707417</v>
      </c>
      <c r="BU121" s="152">
        <f>IF(BV131&gt;1,-1,1)</f>
        <v>-1</v>
      </c>
      <c r="BV121" s="162">
        <f>BK129-BK126</f>
        <v>-2.0267073945153697</v>
      </c>
      <c r="BW121" s="150">
        <f>BW119^2</f>
        <v>1247.9262760000001</v>
      </c>
      <c r="BX121" s="151"/>
      <c r="BY121" s="797"/>
      <c r="BZ121" s="797"/>
      <c r="CA121" s="797"/>
      <c r="CB121" s="797"/>
      <c r="CC121" s="797"/>
      <c r="CD121" s="797"/>
      <c r="CE121" s="797"/>
      <c r="CF121" s="797"/>
      <c r="CG121" s="797"/>
      <c r="CH121" s="797"/>
      <c r="CI121" s="797"/>
      <c r="CJ121" s="797"/>
      <c r="CK121" s="797"/>
      <c r="CL121" s="797"/>
      <c r="CM121" s="797"/>
      <c r="CN121" s="797"/>
      <c r="CO121" s="797"/>
      <c r="CP121" s="797"/>
      <c r="CQ121" s="797"/>
      <c r="CR121" s="797"/>
      <c r="CS121" s="797"/>
      <c r="CT121" s="797"/>
      <c r="CU121" s="797"/>
    </row>
    <row r="122" spans="1:99" ht="15.75" thickBot="1" x14ac:dyDescent="0.3">
      <c r="A122" s="277">
        <f>(O120+O119)+A118</f>
        <v>245.24429006172321</v>
      </c>
      <c r="B122" s="180">
        <f>(A120+B120)/2</f>
        <v>228.67678387818358</v>
      </c>
      <c r="C122" s="163">
        <f>(C120)</f>
        <v>4.9514995068605859E-4</v>
      </c>
      <c r="D122" s="154">
        <f>(D119*D120*D121*B121*A119)</f>
        <v>2.5436927484648384E+21</v>
      </c>
      <c r="E122" s="154">
        <f>(C122*A119)</f>
        <v>1.4272864604459087E-3</v>
      </c>
      <c r="F122" s="161">
        <f>(F124/O124)*O125-F125</f>
        <v>20.042718431617494</v>
      </c>
      <c r="G122" s="161"/>
      <c r="H122" s="161"/>
      <c r="I122" s="161"/>
      <c r="J122" s="161"/>
      <c r="K122" s="161"/>
      <c r="L122" s="161"/>
      <c r="M122" s="161"/>
      <c r="N122" s="162">
        <f>(F122+Q131)*F125</f>
        <v>-572.83192340207006</v>
      </c>
      <c r="O122" s="152">
        <f>H121</f>
        <v>1</v>
      </c>
      <c r="P122" s="152">
        <f>IF(Q131&lt;100,1,-1)</f>
        <v>1</v>
      </c>
      <c r="Q122" s="162">
        <f>Q121+F129</f>
        <v>2.8317347988288155</v>
      </c>
      <c r="R122" s="171"/>
      <c r="S122" s="151"/>
      <c r="T122" s="277">
        <f>(AH120+AH119)+T118</f>
        <v>241.26223222153303</v>
      </c>
      <c r="U122" s="180">
        <f>(T120+U120)/2</f>
        <v>224.64816665687084</v>
      </c>
      <c r="V122" s="163">
        <f>(V120)</f>
        <v>2.3325117618186504E-4</v>
      </c>
      <c r="W122" s="154">
        <f>(W119*W120*W121*U121*T119)</f>
        <v>2.1711027578394139E+24</v>
      </c>
      <c r="X122" s="154">
        <f>(V122*T119)</f>
        <v>9.4601625165171275E-4</v>
      </c>
      <c r="Y122" s="161">
        <f>(Y124/AH124)*AH125-Y125</f>
        <v>181.52379880019342</v>
      </c>
      <c r="Z122" s="161"/>
      <c r="AA122" s="161"/>
      <c r="AB122" s="161"/>
      <c r="AC122" s="161"/>
      <c r="AD122" s="161"/>
      <c r="AE122" s="161"/>
      <c r="AF122" s="161"/>
      <c r="AG122" s="162">
        <f>(Y122+AJ131)*Y125</f>
        <v>-63123.261037738572</v>
      </c>
      <c r="AH122" s="152">
        <f>AA121</f>
        <v>1</v>
      </c>
      <c r="AI122" s="152">
        <f>IF(AJ131&lt;100,1,-1)</f>
        <v>-1</v>
      </c>
      <c r="AJ122" s="162">
        <f>AJ121+Y129</f>
        <v>2.6742070884873375</v>
      </c>
      <c r="AK122" s="171"/>
      <c r="AL122" s="151"/>
      <c r="AM122" s="277">
        <f>(BA120+BA119)+AM118</f>
        <v>246.60530413820834</v>
      </c>
      <c r="AN122" s="180">
        <f>(AM120+AN120)/2</f>
        <v>229.72958330542178</v>
      </c>
      <c r="AO122" s="163">
        <f>(AO120)</f>
        <v>3.8092432857132058E-4</v>
      </c>
      <c r="AP122" s="154">
        <f>(AP119*AP120*AP121*AN121*AM119)</f>
        <v>2.3723175903990171E+22</v>
      </c>
      <c r="AQ122" s="154">
        <f>(AO122*AM119)</f>
        <v>1.2204731127776233E-3</v>
      </c>
      <c r="AR122" s="161">
        <f>(AR124/BA124)*BA125-AR125</f>
        <v>88.455349289925067</v>
      </c>
      <c r="AS122" s="161"/>
      <c r="AT122" s="161"/>
      <c r="AU122" s="161"/>
      <c r="AV122" s="161"/>
      <c r="AW122" s="161"/>
      <c r="AX122" s="161"/>
      <c r="AY122" s="161"/>
      <c r="AZ122" s="162">
        <f>(AR122+BC131)*AR125</f>
        <v>-13892.705576549164</v>
      </c>
      <c r="BA122" s="152">
        <f>AT121</f>
        <v>1</v>
      </c>
      <c r="BB122" s="152">
        <f>IF(BC131&lt;100,1,-1)</f>
        <v>1</v>
      </c>
      <c r="BC122" s="162">
        <f>BC121+AR129</f>
        <v>2.6980423833693026</v>
      </c>
      <c r="BD122" s="171"/>
      <c r="BE122" s="151"/>
      <c r="BF122" s="277">
        <f>(BT120+BT119)+BF118</f>
        <v>240.33156811162314</v>
      </c>
      <c r="BG122" s="180">
        <f>(BF120+BG120)/2</f>
        <v>223.78714668925517</v>
      </c>
      <c r="BH122" s="163">
        <f>(BH120)</f>
        <v>2.2309493905629352E-4</v>
      </c>
      <c r="BI122" s="154">
        <f>(BI119*BI120*BI121*BG121*BF119)</f>
        <v>3.3226536080605897E+24</v>
      </c>
      <c r="BJ122" s="154">
        <f>(BH122*BF119)</f>
        <v>9.2597616816673489E-4</v>
      </c>
      <c r="BK122" s="161">
        <f>(BK124/BT124)*BT125-BK125</f>
        <v>273.34209821535518</v>
      </c>
      <c r="BL122" s="161"/>
      <c r="BM122" s="161"/>
      <c r="BN122" s="161"/>
      <c r="BO122" s="161"/>
      <c r="BP122" s="161"/>
      <c r="BQ122" s="161"/>
      <c r="BR122" s="161"/>
      <c r="BS122" s="162">
        <f>(BK122+BV131)*BK125</f>
        <v>-143912.50767033061</v>
      </c>
      <c r="BT122" s="152">
        <f>BM121</f>
        <v>1</v>
      </c>
      <c r="BU122" s="152">
        <f>IF(BV131&lt;100,1,-1)</f>
        <v>-1</v>
      </c>
      <c r="BV122" s="162">
        <f>BV121+BK129</f>
        <v>2.3931138247133017</v>
      </c>
      <c r="BW122" s="171"/>
      <c r="BX122" s="151"/>
      <c r="BY122" s="797"/>
      <c r="BZ122" s="797"/>
      <c r="CA122" s="797"/>
      <c r="CB122" s="797"/>
      <c r="CC122" s="797"/>
      <c r="CD122" s="797"/>
      <c r="CE122" s="797"/>
      <c r="CF122" s="797"/>
      <c r="CG122" s="797"/>
      <c r="CH122" s="797"/>
      <c r="CI122" s="797"/>
      <c r="CJ122" s="797"/>
      <c r="CK122" s="797"/>
      <c r="CL122" s="797"/>
      <c r="CM122" s="797"/>
      <c r="CN122" s="797"/>
      <c r="CO122" s="797"/>
      <c r="CP122" s="797"/>
      <c r="CQ122" s="797"/>
      <c r="CR122" s="797"/>
      <c r="CS122" s="797"/>
      <c r="CT122" s="797"/>
      <c r="CU122" s="797"/>
    </row>
    <row r="123" spans="1:99" ht="15.75" thickBot="1" x14ac:dyDescent="0.3">
      <c r="A123" s="277">
        <f>(O120*-1-O119)+A118</f>
        <v>204.90765194946286</v>
      </c>
      <c r="B123" s="154">
        <f>(B120+B119)/2</f>
        <v>221.11366423213474</v>
      </c>
      <c r="C123" s="154">
        <f>(B119+A121)/2</f>
        <v>216.07158446810223</v>
      </c>
      <c r="D123" s="154">
        <f>D119</f>
        <v>1905407625.5274889</v>
      </c>
      <c r="E123" s="154">
        <f>(B120+A118)/2</f>
        <v>224.35533755987203</v>
      </c>
      <c r="F123" s="377">
        <f>(F125/O125)</f>
        <v>-3.97517595789067</v>
      </c>
      <c r="G123" s="377"/>
      <c r="H123" s="378">
        <v>0.51</v>
      </c>
      <c r="I123" s="379"/>
      <c r="J123" s="379"/>
      <c r="K123" s="379"/>
      <c r="L123" s="379"/>
      <c r="M123" s="379"/>
      <c r="N123" s="380">
        <v>0.9</v>
      </c>
      <c r="O123" s="381">
        <f>H119</f>
        <v>1</v>
      </c>
      <c r="P123" s="381">
        <f>IF(Q131&lt;0,-1,1)</f>
        <v>1</v>
      </c>
      <c r="Q123" s="382">
        <f>(Q125*(N123+H123+N124+H124)*4)</f>
        <v>1019.3570218274934</v>
      </c>
      <c r="R123" s="383">
        <f>(O130+F132+O132)/3</f>
        <v>1527.8465795915999</v>
      </c>
      <c r="S123" s="384">
        <f>P32</f>
        <v>134242.90084390272</v>
      </c>
      <c r="T123" s="277">
        <f>(AH120*-1-AH119)+T118</f>
        <v>202.36576860108514</v>
      </c>
      <c r="U123" s="154">
        <f>(U120+U119)/2</f>
        <v>217.35507972803686</v>
      </c>
      <c r="V123" s="154">
        <f>(U119+T121)/2</f>
        <v>212.49302177548086</v>
      </c>
      <c r="W123" s="154">
        <f>W119</f>
        <v>45319956894.528694</v>
      </c>
      <c r="X123" s="154">
        <f>(U120+T118)/2</f>
        <v>220.80005455781196</v>
      </c>
      <c r="Y123" s="161">
        <f>(Y125/AH125)</f>
        <v>-77.686997011202621</v>
      </c>
      <c r="Z123" s="161"/>
      <c r="AA123" s="161"/>
      <c r="AB123" s="161"/>
      <c r="AC123" s="161"/>
      <c r="AD123" s="161"/>
      <c r="AE123" s="161"/>
      <c r="AF123" s="161"/>
      <c r="AG123" s="161"/>
      <c r="AH123" s="152">
        <f>AA119</f>
        <v>1</v>
      </c>
      <c r="AI123" s="152">
        <f>IF(AJ131&lt;0,-1,1)</f>
        <v>1</v>
      </c>
      <c r="AJ123" s="183">
        <f>Q123</f>
        <v>1019.3570218274934</v>
      </c>
      <c r="AK123" s="184" t="s">
        <v>51</v>
      </c>
      <c r="AL123" s="151"/>
      <c r="AM123" s="277">
        <f>(BA120*-1-BA119)+AM118</f>
        <v>205.87535238939273</v>
      </c>
      <c r="AN123" s="154">
        <f>(AN120+AN119)/2</f>
        <v>222.09271735251889</v>
      </c>
      <c r="AO123" s="154">
        <f>(AN119+AM121)/2</f>
        <v>217.0014733839169</v>
      </c>
      <c r="AP123" s="154">
        <f>AP119</f>
        <v>5380845504.2413177</v>
      </c>
      <c r="AQ123" s="154">
        <f>(AN120+AM118)/2</f>
        <v>225.43933380031018</v>
      </c>
      <c r="AR123" s="377">
        <f>(AR125/BA125)</f>
        <v>-16.223065076550725</v>
      </c>
      <c r="AS123" s="377"/>
      <c r="AT123" s="378">
        <v>0.51</v>
      </c>
      <c r="AU123" s="379"/>
      <c r="AV123" s="379"/>
      <c r="AW123" s="379"/>
      <c r="AX123" s="379"/>
      <c r="AY123" s="379"/>
      <c r="AZ123" s="380">
        <v>0.9</v>
      </c>
      <c r="BA123" s="381">
        <f>AT119</f>
        <v>1</v>
      </c>
      <c r="BB123" s="381">
        <f>IF(BC131&lt;0,-1,1)</f>
        <v>1</v>
      </c>
      <c r="BC123" s="382">
        <f>(BC125*(AZ123+AT123+AZ124+AT124)*4)</f>
        <v>1265.8551491533392</v>
      </c>
      <c r="BD123" s="383">
        <f>(BA130+AR132+BA132)/3</f>
        <v>1919.8427557897278</v>
      </c>
      <c r="BE123" s="384">
        <f>BB32</f>
        <v>165658.9167468634</v>
      </c>
      <c r="BF123" s="277">
        <f>(BT120*-1-BT119)+BF118</f>
        <v>201.74723424292961</v>
      </c>
      <c r="BG123" s="154">
        <f>(BG120+BG119)/2</f>
        <v>216.55258408887516</v>
      </c>
      <c r="BH123" s="154">
        <f>(BG119+BF121)/2</f>
        <v>211.72954235528846</v>
      </c>
      <c r="BI123" s="154">
        <f>BI119</f>
        <v>55467991275.485374</v>
      </c>
      <c r="BJ123" s="154">
        <f>(BG120+BF118)/2</f>
        <v>220.00175306647242</v>
      </c>
      <c r="BK123" s="161">
        <f>(BK125/BT125)</f>
        <v>-93.444925188606362</v>
      </c>
      <c r="BL123" s="161"/>
      <c r="BM123" s="161"/>
      <c r="BN123" s="161"/>
      <c r="BO123" s="161"/>
      <c r="BP123" s="161"/>
      <c r="BQ123" s="161"/>
      <c r="BR123" s="161"/>
      <c r="BS123" s="161"/>
      <c r="BT123" s="152">
        <f>BM119</f>
        <v>1</v>
      </c>
      <c r="BU123" s="152">
        <f>IF(BV131&lt;0,-1,1)</f>
        <v>1</v>
      </c>
      <c r="BV123" s="183">
        <f>BC123</f>
        <v>1265.8551491533392</v>
      </c>
      <c r="BW123" s="184" t="s">
        <v>51</v>
      </c>
      <c r="BX123" s="151"/>
      <c r="BY123" s="797"/>
      <c r="BZ123" s="797"/>
      <c r="CA123" s="797"/>
      <c r="CB123" s="797"/>
      <c r="CC123" s="797"/>
      <c r="CD123" s="797"/>
      <c r="CE123" s="797"/>
      <c r="CF123" s="797"/>
      <c r="CG123" s="797"/>
      <c r="CH123" s="797"/>
      <c r="CI123" s="797"/>
      <c r="CJ123" s="797"/>
      <c r="CK123" s="797"/>
      <c r="CL123" s="797"/>
      <c r="CM123" s="797"/>
      <c r="CN123" s="797"/>
      <c r="CO123" s="797"/>
      <c r="CP123" s="797"/>
      <c r="CQ123" s="797"/>
      <c r="CR123" s="797"/>
      <c r="CS123" s="797"/>
      <c r="CT123" s="797"/>
      <c r="CU123" s="797"/>
    </row>
    <row r="124" spans="1:99" ht="15.75" thickBot="1" x14ac:dyDescent="0.3">
      <c r="A124" s="163">
        <f>(A123-A122)+A118-A120</f>
        <v>-48.979530748883434</v>
      </c>
      <c r="B124" s="163">
        <f>(A124*-1)+A125</f>
        <v>20.168319056130173</v>
      </c>
      <c r="C124" s="163">
        <f>(B124/2)+A119</f>
        <v>12.966693310949083</v>
      </c>
      <c r="D124" s="163">
        <f>(C132+C125+B131+B124+A119)*-1</f>
        <v>7.49176260828105</v>
      </c>
      <c r="E124" s="163">
        <f>(C124*A119)*D124</f>
        <v>280.01909798210829</v>
      </c>
      <c r="F124" s="381">
        <f>(E124*A119)</f>
        <v>807.16450978613102</v>
      </c>
      <c r="G124" s="381">
        <f>(F124+E124)</f>
        <v>1087.1836077682392</v>
      </c>
      <c r="H124" s="385">
        <v>0.1797</v>
      </c>
      <c r="I124" s="386"/>
      <c r="J124" s="386"/>
      <c r="K124" s="386"/>
      <c r="L124" s="386"/>
      <c r="M124" s="386"/>
      <c r="N124" s="387">
        <v>0.32600000000000001</v>
      </c>
      <c r="O124" s="377">
        <v>785.5</v>
      </c>
      <c r="P124" s="381">
        <f>IF(N122&gt;-1,1,-1)</f>
        <v>-1</v>
      </c>
      <c r="Q124" s="388">
        <f>N123</f>
        <v>0.9</v>
      </c>
      <c r="R124" s="389">
        <f>(F133+H128+O132)/3</f>
        <v>1858.0174878258401</v>
      </c>
      <c r="S124" s="384">
        <f>P33</f>
        <v>131416.6501258974</v>
      </c>
      <c r="T124" s="163">
        <f>(T123-T122)+T118-T120</f>
        <v>-46.592687818565622</v>
      </c>
      <c r="U124" s="163">
        <f>(T124*-1)+T125</f>
        <v>19.448231810223945</v>
      </c>
      <c r="V124" s="163">
        <f>(U124/2)+T119</f>
        <v>13.779899319100451</v>
      </c>
      <c r="W124" s="163">
        <f>(V132+V125+U131+U124+T119)*-1</f>
        <v>7.8623612500614257</v>
      </c>
      <c r="X124" s="163">
        <f>(V124*T119)*W124</f>
        <v>439.41390286539183</v>
      </c>
      <c r="Y124" s="152">
        <f>(X124*T119)</f>
        <v>1782.1676191174008</v>
      </c>
      <c r="Z124" s="152">
        <f>(Y124+X124)</f>
        <v>2221.5815219827928</v>
      </c>
      <c r="AA124" s="161"/>
      <c r="AB124" s="161"/>
      <c r="AC124" s="161"/>
      <c r="AD124" s="161"/>
      <c r="AE124" s="161"/>
      <c r="AF124" s="161"/>
      <c r="AG124" s="161"/>
      <c r="AH124" s="161">
        <v>785.5</v>
      </c>
      <c r="AI124" s="152">
        <f>IF(AG122&gt;-1,1,-1)</f>
        <v>-1</v>
      </c>
      <c r="AJ124" s="191">
        <f>H123</f>
        <v>0.51</v>
      </c>
      <c r="AK124" s="192">
        <f>(Y133+AA128)/2</f>
        <v>1795.6399874481372</v>
      </c>
      <c r="AL124" s="151"/>
      <c r="AM124" s="163">
        <f>(AM123-AM122)+AM118-AM120</f>
        <v>-49.310450759038815</v>
      </c>
      <c r="AN124" s="163">
        <f>(AM124*-1)+AM125</f>
        <v>20.364975874407804</v>
      </c>
      <c r="AO124" s="163">
        <f>(AN124/2)+AM119</f>
        <v>13.386465791165293</v>
      </c>
      <c r="AP124" s="163">
        <f>(AO132+AO125+AN131+AN124+AM119)*-1</f>
        <v>7.7114816893030351</v>
      </c>
      <c r="AQ124" s="163">
        <f>(AO124*AM119)*AP124</f>
        <v>330.7449864849217</v>
      </c>
      <c r="AR124" s="381">
        <f>(AQ124*AM119)</f>
        <v>1059.6996120064484</v>
      </c>
      <c r="AS124" s="381">
        <f>(AR124+AQ124)</f>
        <v>1390.44459849137</v>
      </c>
      <c r="AT124" s="385">
        <v>0.1797</v>
      </c>
      <c r="AU124" s="386"/>
      <c r="AV124" s="386"/>
      <c r="AW124" s="386"/>
      <c r="AX124" s="386"/>
      <c r="AY124" s="386"/>
      <c r="AZ124" s="387">
        <v>0.32600000000000001</v>
      </c>
      <c r="BA124" s="377">
        <v>785.5</v>
      </c>
      <c r="BB124" s="381">
        <f>IF(AZ122&gt;-1,1,-1)</f>
        <v>-1</v>
      </c>
      <c r="BC124" s="388">
        <f>AZ123</f>
        <v>0.9</v>
      </c>
      <c r="BD124" s="389">
        <f>(AR133+AT128+BA132)/3</f>
        <v>2513.8240241670301</v>
      </c>
      <c r="BE124" s="384">
        <f>BB33</f>
        <v>163979.82844881425</v>
      </c>
      <c r="BF124" s="163">
        <f>(BF123-BF122)+BF118-BF120</f>
        <v>-46.155121114259032</v>
      </c>
      <c r="BG124" s="163">
        <f>(BF124*-1)+BF125</f>
        <v>19.292166934346767</v>
      </c>
      <c r="BH124" s="163">
        <f>(BG124/2)+BF119</f>
        <v>13.796675910389155</v>
      </c>
      <c r="BI124" s="163">
        <f>(BH132+BH125+BG131+BG124+BF119)*-1</f>
        <v>7.862946301911915</v>
      </c>
      <c r="BJ124" s="163">
        <f>(BH124*BF119)*BI124</f>
        <v>450.2667353214141</v>
      </c>
      <c r="BK124" s="152">
        <f>(BJ124*BF119)</f>
        <v>1868.8737090564971</v>
      </c>
      <c r="BL124" s="152">
        <f>(BK124+BJ124)</f>
        <v>2319.1404443779111</v>
      </c>
      <c r="BM124" s="161"/>
      <c r="BN124" s="161"/>
      <c r="BO124" s="161"/>
      <c r="BP124" s="161"/>
      <c r="BQ124" s="161"/>
      <c r="BR124" s="161"/>
      <c r="BS124" s="161"/>
      <c r="BT124" s="161">
        <v>785.5</v>
      </c>
      <c r="BU124" s="152">
        <f>IF(BS122&gt;-1,1,-1)</f>
        <v>-1</v>
      </c>
      <c r="BV124" s="191">
        <f>AT123</f>
        <v>0.51</v>
      </c>
      <c r="BW124" s="192">
        <f>(BK133+BM128)/2</f>
        <v>2540.86418678665</v>
      </c>
      <c r="BX124" s="151"/>
      <c r="BY124" s="797"/>
      <c r="BZ124" s="797"/>
      <c r="CA124" s="797"/>
      <c r="CB124" s="797"/>
      <c r="CC124" s="797"/>
      <c r="CD124" s="797"/>
      <c r="CE124" s="797"/>
      <c r="CF124" s="797"/>
      <c r="CG124" s="797"/>
      <c r="CH124" s="797"/>
      <c r="CI124" s="797"/>
      <c r="CJ124" s="797"/>
      <c r="CK124" s="797"/>
      <c r="CL124" s="797"/>
      <c r="CM124" s="797"/>
      <c r="CN124" s="797"/>
      <c r="CO124" s="797"/>
      <c r="CP124" s="797"/>
      <c r="CQ124" s="797"/>
      <c r="CR124" s="797"/>
      <c r="CS124" s="797"/>
      <c r="CT124" s="797"/>
      <c r="CU124" s="797"/>
    </row>
    <row r="125" spans="1:99" ht="15.75" thickBot="1" x14ac:dyDescent="0.3">
      <c r="A125" s="163">
        <f>(A123-A122)+A118-A121</f>
        <v>-28.811211692753261</v>
      </c>
      <c r="B125" s="163">
        <f>A126+(A125*-1)+A124</f>
        <v>-97.959061497766868</v>
      </c>
      <c r="C125" s="154">
        <f>(B125/10)</f>
        <v>-9.7959061497766875</v>
      </c>
      <c r="D125" s="154"/>
      <c r="E125" s="154"/>
      <c r="F125" s="377">
        <f>(Q131*-1)</f>
        <v>-15.925886571255917</v>
      </c>
      <c r="G125" s="377"/>
      <c r="H125" s="390"/>
      <c r="I125" s="391"/>
      <c r="J125" s="391"/>
      <c r="K125" s="391"/>
      <c r="L125" s="391"/>
      <c r="M125" s="391"/>
      <c r="N125" s="392" t="str">
        <f>IF((R126+AK126+AK194+R194)/4&gt;0,"1","0")</f>
        <v>0</v>
      </c>
      <c r="O125" s="377">
        <f>(H133/1000)*8.9</f>
        <v>4.006335</v>
      </c>
      <c r="P125" s="381">
        <f>(P127+O129)/2</f>
        <v>977.12508573834054</v>
      </c>
      <c r="Q125" s="393">
        <f>((R128+S128+S126+S125+S124+S123)/6)/F36</f>
        <v>133.02670327132293</v>
      </c>
      <c r="R125" s="394">
        <f>(P128+P127)/2</f>
        <v>982.7273965872655</v>
      </c>
      <c r="S125" s="395">
        <f>(J75)</f>
        <v>133357</v>
      </c>
      <c r="T125" s="163">
        <f>(T123-T122)+T118-T121</f>
        <v>-27.144456008341677</v>
      </c>
      <c r="U125" s="163">
        <f>T126+(T125*-1)+T124</f>
        <v>-93.185375637131244</v>
      </c>
      <c r="V125" s="154">
        <f>(U125/10)</f>
        <v>-9.3185375637131251</v>
      </c>
      <c r="W125" s="154"/>
      <c r="X125" s="154"/>
      <c r="Y125" s="161">
        <f>(AJ131*-1)</f>
        <v>-176.37286700153032</v>
      </c>
      <c r="Z125" s="161"/>
      <c r="AA125" s="161"/>
      <c r="AB125" s="161"/>
      <c r="AC125" s="161"/>
      <c r="AD125" s="161"/>
      <c r="AE125" s="161"/>
      <c r="AF125" s="161"/>
      <c r="AG125" s="161"/>
      <c r="AH125" s="161">
        <f>(AA133/1000)*8.9</f>
        <v>2.2703009999999999</v>
      </c>
      <c r="AI125" s="152">
        <f>(AI127+AH129)/2</f>
        <v>974.74705892502948</v>
      </c>
      <c r="AJ125" s="195" t="s">
        <v>52</v>
      </c>
      <c r="AK125" s="192">
        <f>(AI128+AI127)/2</f>
        <v>980.22879093036215</v>
      </c>
      <c r="AL125" s="151"/>
      <c r="AM125" s="163">
        <f>(AM123-AM122)+AM118-AM121</f>
        <v>-28.945474884631011</v>
      </c>
      <c r="AN125" s="163">
        <f>AM126+(AM125*-1)+AM124</f>
        <v>-98.62090151807763</v>
      </c>
      <c r="AO125" s="154">
        <f>(AN125/10)</f>
        <v>-9.862090151807763</v>
      </c>
      <c r="AP125" s="154"/>
      <c r="AQ125" s="154"/>
      <c r="AR125" s="377">
        <f>(BC131*-1)</f>
        <v>-81.664313904944109</v>
      </c>
      <c r="AS125" s="377"/>
      <c r="AT125" s="390"/>
      <c r="AU125" s="391"/>
      <c r="AV125" s="391"/>
      <c r="AW125" s="391"/>
      <c r="AX125" s="391"/>
      <c r="AY125" s="391"/>
      <c r="AZ125" s="392" t="str">
        <f>IF((BD126+BW126+BW194+BD194)/4&gt;0,"1","0")</f>
        <v>0</v>
      </c>
      <c r="BA125" s="377">
        <f>(AT133/1000)*8.9</f>
        <v>5.0338400000000005</v>
      </c>
      <c r="BB125" s="381">
        <f>(BB127+BA129)/2</f>
        <v>1226.7772575576021</v>
      </c>
      <c r="BC125" s="393">
        <f>((BD128+BE128+BE126+BE125+BE124+BE123)/6)/AR36</f>
        <v>165.1948568608523</v>
      </c>
      <c r="BD125" s="394">
        <f>(BB128+BB127)/2</f>
        <v>1233.8484297362161</v>
      </c>
      <c r="BE125" s="395">
        <f>(AV75)</f>
        <v>165605</v>
      </c>
      <c r="BF125" s="163">
        <f>(BF123-BF122)+BF118-BF121</f>
        <v>-26.862954179912265</v>
      </c>
      <c r="BG125" s="163">
        <f>BF126+(BF125*-1)+BF124</f>
        <v>-92.310242228518064</v>
      </c>
      <c r="BH125" s="154">
        <f>(BG125/10)</f>
        <v>-9.231024222851806</v>
      </c>
      <c r="BI125" s="154"/>
      <c r="BJ125" s="154"/>
      <c r="BK125" s="161">
        <f>(BV131*-1)</f>
        <v>-266.55529345258202</v>
      </c>
      <c r="BL125" s="161"/>
      <c r="BM125" s="161"/>
      <c r="BN125" s="161"/>
      <c r="BO125" s="161"/>
      <c r="BP125" s="161"/>
      <c r="BQ125" s="161"/>
      <c r="BR125" s="161"/>
      <c r="BS125" s="161"/>
      <c r="BT125" s="161">
        <f>(BM133/1000)*8.9</f>
        <v>2.8525390000000002</v>
      </c>
      <c r="BU125" s="152">
        <f>(BU127+BT129)/2</f>
        <v>1224.5211541193873</v>
      </c>
      <c r="BV125" s="195" t="s">
        <v>52</v>
      </c>
      <c r="BW125" s="192">
        <f>(BU128+BU127)/2</f>
        <v>1231.3774389367411</v>
      </c>
      <c r="BX125" s="151"/>
      <c r="BY125" s="797"/>
      <c r="BZ125" s="797"/>
      <c r="CA125" s="797"/>
      <c r="CB125" s="797"/>
      <c r="CC125" s="797"/>
      <c r="CD125" s="797"/>
      <c r="CE125" s="797"/>
      <c r="CF125" s="797"/>
      <c r="CG125" s="797"/>
      <c r="CH125" s="797"/>
      <c r="CI125" s="797"/>
      <c r="CJ125" s="797"/>
      <c r="CK125" s="797"/>
      <c r="CL125" s="797"/>
      <c r="CM125" s="797"/>
      <c r="CN125" s="797"/>
      <c r="CO125" s="797"/>
      <c r="CP125" s="797"/>
      <c r="CQ125" s="797"/>
      <c r="CR125" s="797"/>
      <c r="CS125" s="797"/>
      <c r="CT125" s="797"/>
      <c r="CU125" s="797"/>
    </row>
    <row r="126" spans="1:99" x14ac:dyDescent="0.25">
      <c r="A126" s="163">
        <f>(A125+A124)</f>
        <v>-77.790742441636695</v>
      </c>
      <c r="B126" s="154"/>
      <c r="C126" s="154">
        <f>((F126+E126*-1)+E130)*10-A119+O126*-1-C122*111</f>
        <v>10.873757429103934</v>
      </c>
      <c r="D126" s="154"/>
      <c r="E126" s="154">
        <f>(E130+O126+F126)</f>
        <v>-0.19673465823009018</v>
      </c>
      <c r="F126" s="377">
        <f>(O126*E130)</f>
        <v>5.2018875071633275</v>
      </c>
      <c r="G126" s="377"/>
      <c r="H126" s="396">
        <f>(P127+H127)/2</f>
        <v>745.69557570251595</v>
      </c>
      <c r="I126" s="377"/>
      <c r="J126" s="377"/>
      <c r="K126" s="377"/>
      <c r="L126" s="377"/>
      <c r="M126" s="377"/>
      <c r="N126" s="377">
        <f>(A122-A118)-(A118-B123)</f>
        <v>16.206012282671878</v>
      </c>
      <c r="O126" s="381">
        <f>(P126+A119+C122*10)</f>
        <v>-1.2555684415012804</v>
      </c>
      <c r="P126" s="377">
        <f>E130</f>
        <v>-4.1430537238921374</v>
      </c>
      <c r="Q126" s="397">
        <f>(Q122*Q121*10)</f>
        <v>-33.558219513646009</v>
      </c>
      <c r="R126" s="398">
        <f>(P137+O137+P139+O139+N139+P138+O138+N138+H140+F140+E140+E139+F139+H139+H138+F138+E138+E137+F137+H137)</f>
        <v>0</v>
      </c>
      <c r="S126" s="399">
        <f>M35</f>
        <v>132953.66865813758</v>
      </c>
      <c r="T126" s="163">
        <f>(T125+T124)</f>
        <v>-73.7371438269073</v>
      </c>
      <c r="U126" s="154"/>
      <c r="V126" s="154">
        <f>((Y126+X126*-1)+X130)*10-T119+AH126*-1-V122*111</f>
        <v>9.2633274456040944</v>
      </c>
      <c r="W126" s="154"/>
      <c r="X126" s="154">
        <f>(X130+AH126+Y126)</f>
        <v>-8.943627152885103E-2</v>
      </c>
      <c r="Y126" s="161">
        <f>(AH126*X130)</f>
        <v>6.3950436069757668</v>
      </c>
      <c r="Z126" s="161"/>
      <c r="AA126" s="191">
        <f>(AI127+AA127)/2</f>
        <v>743.64050624966558</v>
      </c>
      <c r="AB126" s="161"/>
      <c r="AC126" s="161"/>
      <c r="AD126" s="161"/>
      <c r="AE126" s="161"/>
      <c r="AF126" s="161"/>
      <c r="AG126" s="161">
        <f>(T122-T118)-(T118-U123)</f>
        <v>14.989311126951719</v>
      </c>
      <c r="AH126" s="152">
        <f>(AI126+T119+V122*10)</f>
        <v>-1.2131819763771601</v>
      </c>
      <c r="AI126" s="161">
        <f>X130</f>
        <v>-5.2712979021274577</v>
      </c>
      <c r="AJ126" s="162">
        <f>(AJ122*AJ121*10)</f>
        <v>-49.751436964221519</v>
      </c>
      <c r="AK126" s="200">
        <f>(AI137+AH137+AI139+AH139+AG139+AI138+AH138+AG138+AA140+Y140+X140+X139+Y139+AA139+AA138+Y138+X138+X137+Y137+AA137)</f>
        <v>-2</v>
      </c>
      <c r="AL126" s="151"/>
      <c r="AM126" s="163">
        <f>(AM125+AM124)</f>
        <v>-78.255925643669826</v>
      </c>
      <c r="AN126" s="154"/>
      <c r="AO126" s="154">
        <f>((AR126+AQ126*-1)+AQ130)*10-AM119+BA126*-1-AO122*111</f>
        <v>10.712758783079961</v>
      </c>
      <c r="AP126" s="154"/>
      <c r="AQ126" s="154">
        <f>(AQ130+BA126+AR126)</f>
        <v>-6.4737719962276508E-2</v>
      </c>
      <c r="AR126" s="377">
        <f>(BA126*AQ130)</f>
        <v>5.681052875014422</v>
      </c>
      <c r="AS126" s="377"/>
      <c r="AT126" s="396">
        <f>(BB127+AT127)/2</f>
        <v>936.24250651108969</v>
      </c>
      <c r="AU126" s="377"/>
      <c r="AV126" s="377"/>
      <c r="AW126" s="377"/>
      <c r="AX126" s="377"/>
      <c r="AY126" s="377"/>
      <c r="AZ126" s="377">
        <f>(AM122-AM118)-(AM118-AN123)</f>
        <v>16.217364963126158</v>
      </c>
      <c r="BA126" s="381">
        <f>(BB126+AM119+AO122*10)</f>
        <v>-1.2690017488647976</v>
      </c>
      <c r="BB126" s="377">
        <f>AQ130</f>
        <v>-4.4767888461119014</v>
      </c>
      <c r="BC126" s="397">
        <f>(BC122*BC121*10)</f>
        <v>-40.241443682469161</v>
      </c>
      <c r="BD126" s="398">
        <f>(BB137+BA137+BB139+BA139+AZ139+BB138+BA138+AZ138+AT140+AR140+AQ140+AQ139+AR139+AT139+AT138+AR138+AQ138+AQ137+AR137+AT137)</f>
        <v>0</v>
      </c>
      <c r="BE126" s="399">
        <f>AY35</f>
        <v>164593.39596943627</v>
      </c>
      <c r="BF126" s="163">
        <f>(BF125+BF124)</f>
        <v>-73.018075294171297</v>
      </c>
      <c r="BG126" s="154"/>
      <c r="BH126" s="154">
        <f>((BK126+BJ126*-1)+BJ130)*10-BF119+BT126*-1-BH122*111</f>
        <v>9.0634683426162237</v>
      </c>
      <c r="BI126" s="154"/>
      <c r="BJ126" s="154">
        <f>(BJ130+BT126+BK126)</f>
        <v>-0.1133537468745196</v>
      </c>
      <c r="BK126" s="161">
        <f>(BT126*BJ130)</f>
        <v>6.4465286137440412</v>
      </c>
      <c r="BL126" s="161"/>
      <c r="BM126" s="191">
        <f>(BU127+BM127)/2</f>
        <v>934.06670029358747</v>
      </c>
      <c r="BN126" s="161"/>
      <c r="BO126" s="161"/>
      <c r="BP126" s="161"/>
      <c r="BQ126" s="161"/>
      <c r="BR126" s="161"/>
      <c r="BS126" s="161">
        <f>(BF122-BF118)-(BF118-BG123)</f>
        <v>14.805349845945557</v>
      </c>
      <c r="BT126" s="152">
        <f>(BU126+BF119+BH122*10)</f>
        <v>-1.2035294840061135</v>
      </c>
      <c r="BU126" s="161">
        <f>BJ130</f>
        <v>-5.3563528766124477</v>
      </c>
      <c r="BV126" s="162">
        <f>(BV122*BV121*10)</f>
        <v>-48.50141484463407</v>
      </c>
      <c r="BW126" s="200">
        <f>(BU137+BT137+BU139+BT139+BS139+BU138+BT138+BS138+BM140+BK140+BJ140+BJ139+BK139+BM139+BM138+BK138+BJ138+BJ137+BK137+BM137)</f>
        <v>-2</v>
      </c>
      <c r="BX126" s="151"/>
      <c r="BY126" s="797"/>
      <c r="BZ126" s="797"/>
      <c r="CA126" s="797"/>
      <c r="CB126" s="797"/>
      <c r="CC126" s="797"/>
      <c r="CD126" s="797"/>
      <c r="CE126" s="797"/>
      <c r="CF126" s="797"/>
      <c r="CG126" s="797"/>
      <c r="CH126" s="797"/>
      <c r="CI126" s="797"/>
      <c r="CJ126" s="797"/>
      <c r="CK126" s="797"/>
      <c r="CL126" s="797"/>
      <c r="CM126" s="797"/>
      <c r="CN126" s="797"/>
      <c r="CO126" s="797"/>
      <c r="CP126" s="797"/>
      <c r="CQ126" s="797"/>
      <c r="CR126" s="797"/>
      <c r="CS126" s="797"/>
      <c r="CT126" s="797"/>
      <c r="CU126" s="797"/>
    </row>
    <row r="127" spans="1:99" x14ac:dyDescent="0.25">
      <c r="A127" s="163">
        <f>(A118+A126)</f>
        <v>147.28522856395634</v>
      </c>
      <c r="B127" s="154">
        <f>(A118+A127)/2</f>
        <v>186.1805997847747</v>
      </c>
      <c r="C127" s="154">
        <f>(E123-A118)-(A118-B127)</f>
        <v>-39.616004666539339</v>
      </c>
      <c r="D127" s="163">
        <f>(B123+C123)/2</f>
        <v>218.59262435011848</v>
      </c>
      <c r="E127" s="163">
        <f>(A122+A128)</f>
        <v>450.87257545690704</v>
      </c>
      <c r="F127" s="396">
        <f>(G124*2)-G131</f>
        <v>2019.5902243642411</v>
      </c>
      <c r="G127" s="396">
        <f>(A119*F127)</f>
        <v>5821.5370493121945</v>
      </c>
      <c r="H127" s="396">
        <f>(N129+P127)/2</f>
        <v>497.45913311991615</v>
      </c>
      <c r="I127" s="396"/>
      <c r="J127" s="396"/>
      <c r="K127" s="396"/>
      <c r="L127" s="396"/>
      <c r="M127" s="396"/>
      <c r="N127" s="400">
        <f>(O127+O128)/2</f>
        <v>1008.7384992360072</v>
      </c>
      <c r="O127" s="401">
        <f>(A121+C123)/2*Q132/Q124</f>
        <v>954.71584234264037</v>
      </c>
      <c r="P127" s="402">
        <f>B120*Q132/Q124</f>
        <v>993.93201828511565</v>
      </c>
      <c r="Q127" s="403">
        <f>(A123+B120)/2</f>
        <v>214.27117803180693</v>
      </c>
      <c r="R127" s="196">
        <f>(F133+F132+F130+F128)/4.79</f>
        <v>1225.3624453250022</v>
      </c>
      <c r="S127" s="404">
        <f>((((S129/10)+Q125)/2-R128*-1)+Q125+S128+R128)/4.96</f>
        <v>80734.520980361689</v>
      </c>
      <c r="T127" s="163">
        <f>(T118+T126)</f>
        <v>148.07685658440178</v>
      </c>
      <c r="U127" s="154">
        <f>(T118+T127)/2</f>
        <v>184.94542849785543</v>
      </c>
      <c r="V127" s="154">
        <f>(X123-T118)-(T118-U127)</f>
        <v>-37.88251776695077</v>
      </c>
      <c r="W127" s="163">
        <f>(U123+V123)/2</f>
        <v>214.92405075175884</v>
      </c>
      <c r="X127" s="163">
        <f>(T122+T128)</f>
        <v>444.64194667611525</v>
      </c>
      <c r="Y127" s="191">
        <f>(Z124*2)-Z131</f>
        <v>4287.2238261311222</v>
      </c>
      <c r="Z127" s="191">
        <f>(T119*Y127)</f>
        <v>17388.051286078833</v>
      </c>
      <c r="AA127" s="191">
        <f>(AG129+AI127)/2</f>
        <v>496.08875755830354</v>
      </c>
      <c r="AB127" s="191"/>
      <c r="AC127" s="191"/>
      <c r="AD127" s="191"/>
      <c r="AE127" s="191"/>
      <c r="AF127" s="191"/>
      <c r="AG127" s="201">
        <f>(AH127+AH128)/2</f>
        <v>1006.0397592009494</v>
      </c>
      <c r="AH127" s="205">
        <f>(T121+V123)/2*AJ132/AJ124</f>
        <v>952.82013090369844</v>
      </c>
      <c r="AI127" s="206">
        <f>U120*AJ132/AJ124</f>
        <v>991.19225494102761</v>
      </c>
      <c r="AJ127" s="149">
        <f>(T123+U120)/2</f>
        <v>211.07593865269999</v>
      </c>
      <c r="AK127" s="152"/>
      <c r="AL127" s="151"/>
      <c r="AM127" s="163">
        <f>(AM118+AM126)</f>
        <v>147.98440262013071</v>
      </c>
      <c r="AN127" s="154">
        <f>(AM118+AM127)/2</f>
        <v>187.11236544196561</v>
      </c>
      <c r="AO127" s="154">
        <f>(AQ123-AM118)-(AM118-AN127)</f>
        <v>-39.928957285325282</v>
      </c>
      <c r="AP127" s="163">
        <f>(AN123+AO123)/2</f>
        <v>219.5470953682179</v>
      </c>
      <c r="AQ127" s="163">
        <f>(AM122+AM128)</f>
        <v>453.2816509910914</v>
      </c>
      <c r="AR127" s="396">
        <f>(AS124*2)-AS131</f>
        <v>2625.1933126733061</v>
      </c>
      <c r="AS127" s="396">
        <f>(AM119*AR127)</f>
        <v>8411.0612361728126</v>
      </c>
      <c r="AT127" s="396">
        <f>(AZ129+BB127)/2</f>
        <v>624.49423892873563</v>
      </c>
      <c r="AU127" s="396"/>
      <c r="AV127" s="396"/>
      <c r="AW127" s="396"/>
      <c r="AX127" s="396"/>
      <c r="AY127" s="396"/>
      <c r="AZ127" s="400">
        <f>(BA127+BA128)/2</f>
        <v>1266.7811968503811</v>
      </c>
      <c r="BA127" s="401">
        <f>(AM121+AO123)/2*BC132/BC124</f>
        <v>1198.4925688431467</v>
      </c>
      <c r="BB127" s="402">
        <f>AN120*BC132/BC124</f>
        <v>1247.9907740934436</v>
      </c>
      <c r="BC127" s="403">
        <f>(AM123+AN120)/2</f>
        <v>215.25684586310629</v>
      </c>
      <c r="BD127" s="196">
        <f>(AR133+AR132+AR130+AR128)/4.79</f>
        <v>1651.8100493989969</v>
      </c>
      <c r="BE127" s="404">
        <f>((((BE129/10)+BC125)/2-BD128*-1)+BC125+BE128+BD128)/4.96</f>
        <v>100330.06106396776</v>
      </c>
      <c r="BF127" s="163">
        <f>(BF118+BF126)</f>
        <v>148.02132588310508</v>
      </c>
      <c r="BG127" s="154">
        <f>(BF118+BF127)/2</f>
        <v>184.53036353019073</v>
      </c>
      <c r="BH127" s="154">
        <f>(BJ123-BF118)-(BF118-BG127)</f>
        <v>-37.546685757889605</v>
      </c>
      <c r="BI127" s="163">
        <f>(BG123+BH123)/2</f>
        <v>214.14106322208181</v>
      </c>
      <c r="BJ127" s="163">
        <f>(BF122+BF128)</f>
        <v>443.11645046535671</v>
      </c>
      <c r="BK127" s="191">
        <f>(BL124*2)-BL131</f>
        <v>4482.3966165708052</v>
      </c>
      <c r="BL127" s="191">
        <f>(BF119*BK127)</f>
        <v>18604.601524234724</v>
      </c>
      <c r="BM127" s="191">
        <f>(BS129+BU127)/2</f>
        <v>623.04339201572657</v>
      </c>
      <c r="BN127" s="191"/>
      <c r="BO127" s="191"/>
      <c r="BP127" s="191"/>
      <c r="BQ127" s="191"/>
      <c r="BR127" s="191"/>
      <c r="BS127" s="201">
        <f>(BT127+BT128)/2</f>
        <v>1263.705808615485</v>
      </c>
      <c r="BT127" s="205">
        <f>(BF121+BH123)/2*BV132/BV124</f>
        <v>1197.0960148499728</v>
      </c>
      <c r="BU127" s="206">
        <f>BG120*BV132/BV124</f>
        <v>1245.0900085714484</v>
      </c>
      <c r="BV127" s="149">
        <f>(BF123+BG120)/2</f>
        <v>210.35566959929906</v>
      </c>
      <c r="BW127" s="152"/>
      <c r="BX127" s="151"/>
      <c r="BY127" s="797"/>
      <c r="BZ127" s="797"/>
      <c r="CA127" s="797"/>
      <c r="CB127" s="797"/>
      <c r="CC127" s="797"/>
      <c r="CD127" s="797"/>
      <c r="CE127" s="797"/>
      <c r="CF127" s="797"/>
      <c r="CG127" s="797"/>
      <c r="CH127" s="797"/>
      <c r="CI127" s="797"/>
      <c r="CJ127" s="797"/>
      <c r="CK127" s="797"/>
      <c r="CL127" s="797"/>
      <c r="CM127" s="797"/>
      <c r="CN127" s="797"/>
      <c r="CO127" s="797"/>
      <c r="CP127" s="797"/>
      <c r="CQ127" s="797"/>
      <c r="CR127" s="797"/>
      <c r="CS127" s="797"/>
      <c r="CT127" s="797"/>
      <c r="CU127" s="797"/>
    </row>
    <row r="128" spans="1:99" x14ac:dyDescent="0.25">
      <c r="A128" s="163">
        <f>((A123+A122+A121+A120)/4-A123-A118)*-1</f>
        <v>205.62828539518387</v>
      </c>
      <c r="B128" s="154">
        <f>(B123+C123)/2</f>
        <v>218.59262435011848</v>
      </c>
      <c r="C128" s="154">
        <f>(E130+A119)</f>
        <v>-1.2605199410081411</v>
      </c>
      <c r="D128" s="163">
        <f>(A130+D129+A122+D129)/2</f>
        <v>380.16641803909522</v>
      </c>
      <c r="E128" s="163">
        <f>(A123+D129+A122)/3</f>
        <v>201.68741022775268</v>
      </c>
      <c r="F128" s="405">
        <f>(O128+P127)/2</f>
        <v>1028.3465872072447</v>
      </c>
      <c r="G128" s="403"/>
      <c r="H128" s="406">
        <f>(O128+P127+N127)/3</f>
        <v>1021.8105578834989</v>
      </c>
      <c r="I128" s="396"/>
      <c r="J128" s="396"/>
      <c r="K128" s="396"/>
      <c r="L128" s="396"/>
      <c r="M128" s="396"/>
      <c r="N128" s="407">
        <f>((A128+A122)/2)*Q132/Q124</f>
        <v>1001.9390565709045</v>
      </c>
      <c r="O128" s="408">
        <f>((A129+A120)/2)*Q132/Q124</f>
        <v>1062.7611561293741</v>
      </c>
      <c r="P128" s="409">
        <f>B119*Q132/Q124</f>
        <v>971.52277488941547</v>
      </c>
      <c r="Q128" s="397">
        <f>A119+E130</f>
        <v>-1.2605199410081411</v>
      </c>
      <c r="R128" s="410">
        <f>(C89)</f>
        <v>133988</v>
      </c>
      <c r="S128" s="410">
        <f>(D89)</f>
        <v>132202</v>
      </c>
      <c r="T128" s="163">
        <f>((T123+T122+T121+T120)/4-T123-T118)*-1</f>
        <v>203.37971445458226</v>
      </c>
      <c r="U128" s="154">
        <f>(U123+V123)/2</f>
        <v>214.92405075175884</v>
      </c>
      <c r="V128" s="154">
        <f>(X130+T119)</f>
        <v>-1.2155144881389788</v>
      </c>
      <c r="W128" s="163">
        <f>(T130+W129+T122+W129)/2</f>
        <v>375.85069533839714</v>
      </c>
      <c r="X128" s="163">
        <f>(T123+W129+T122)/3</f>
        <v>199.13706976211066</v>
      </c>
      <c r="Y128" s="191">
        <f>(AH128+AI127)/2</f>
        <v>1025.2258212196139</v>
      </c>
      <c r="Z128" s="149"/>
      <c r="AA128" s="191">
        <f>(AH128+AI127+AG127)/3</f>
        <v>1018.8304672133924</v>
      </c>
      <c r="AB128" s="191"/>
      <c r="AC128" s="191"/>
      <c r="AD128" s="191"/>
      <c r="AE128" s="191"/>
      <c r="AF128" s="191"/>
      <c r="AG128" s="207">
        <f>((T128+T122)/2)*AJ132/AJ124</f>
        <v>1002.6239974069265</v>
      </c>
      <c r="AH128" s="212">
        <f>((T129+T120)/2)*AJ132/AJ124</f>
        <v>1059.2593874982003</v>
      </c>
      <c r="AI128" s="213">
        <f>U119*AJ132/AJ124</f>
        <v>969.26532691969669</v>
      </c>
      <c r="AJ128" s="162">
        <f>T119+X130</f>
        <v>-1.2155144881389788</v>
      </c>
      <c r="AK128" s="152"/>
      <c r="AL128" s="151"/>
      <c r="AM128" s="163">
        <f>((AM123+AM122+AM121+AM120)/4-AM123-AM118)*-1</f>
        <v>206.67634685288309</v>
      </c>
      <c r="AN128" s="154">
        <f>(AN123+AO123)/2</f>
        <v>219.5470953682179</v>
      </c>
      <c r="AO128" s="154">
        <f>(AQ130+AM119)</f>
        <v>-1.2728109921505109</v>
      </c>
      <c r="AP128" s="163">
        <f>(AM130+AP129+AM122+AP129)/2</f>
        <v>382.10054992681432</v>
      </c>
      <c r="AQ128" s="163">
        <f>(AM123+AP129+AM122)/3</f>
        <v>202.71354319158078</v>
      </c>
      <c r="AR128" s="405">
        <f>(BA128+BB127)/2</f>
        <v>1291.5302994755298</v>
      </c>
      <c r="AS128" s="403"/>
      <c r="AT128" s="406">
        <f>(BA128+BB127+AZ127)/3</f>
        <v>1283.2805986004803</v>
      </c>
      <c r="AU128" s="396"/>
      <c r="AV128" s="396"/>
      <c r="AW128" s="396"/>
      <c r="AX128" s="396"/>
      <c r="AY128" s="396"/>
      <c r="AZ128" s="407">
        <f>((AM128+AM122)/2)*BC132/BC124</f>
        <v>1259.115697197476</v>
      </c>
      <c r="BA128" s="408">
        <f>((AM129+AM120)/2)*BC132/BC124</f>
        <v>1335.0698248576157</v>
      </c>
      <c r="BB128" s="409">
        <f>AN119*BC132/BC124</f>
        <v>1219.7060853789883</v>
      </c>
      <c r="BC128" s="397">
        <f>AM119+AQ130</f>
        <v>-1.2728109921505109</v>
      </c>
      <c r="BD128" s="410">
        <f>(AO89)</f>
        <v>165973</v>
      </c>
      <c r="BE128" s="410">
        <f>(AP89)</f>
        <v>165359</v>
      </c>
      <c r="BF128" s="163">
        <f>((BF123+BF122+BF121+BF120)/4-BF123-BF118)*-1</f>
        <v>202.78488235373356</v>
      </c>
      <c r="BG128" s="154">
        <f>(BG123+BH123)/2</f>
        <v>214.14106322208181</v>
      </c>
      <c r="BH128" s="154">
        <f>(BJ130+BF119)</f>
        <v>-1.2057604333966765</v>
      </c>
      <c r="BI128" s="163">
        <f>(BF130+BI129+BF122+BI129)/2</f>
        <v>374.7282334432017</v>
      </c>
      <c r="BJ128" s="163">
        <f>(BF123+BI129+BF122)/3</f>
        <v>198.50274086425904</v>
      </c>
      <c r="BK128" s="191">
        <f>(BT128+BU127)/2</f>
        <v>1287.7028054762227</v>
      </c>
      <c r="BL128" s="149"/>
      <c r="BM128" s="191">
        <f>(BT128+BU127+BS127)/3</f>
        <v>1279.7038065226434</v>
      </c>
      <c r="BN128" s="191"/>
      <c r="BO128" s="191"/>
      <c r="BP128" s="191"/>
      <c r="BQ128" s="191"/>
      <c r="BR128" s="191"/>
      <c r="BS128" s="207">
        <f>((BF128+BF122)/2)*BV132/BV124</f>
        <v>1259.8408885779747</v>
      </c>
      <c r="BT128" s="212">
        <f>((BF129+BF120)/2)*BV132/BV124</f>
        <v>1330.3156023809972</v>
      </c>
      <c r="BU128" s="213">
        <f>BG119*BV132/BV124</f>
        <v>1217.6648693020338</v>
      </c>
      <c r="BV128" s="162">
        <f>BF119+BJ130</f>
        <v>-1.2057604333966765</v>
      </c>
      <c r="BW128" s="152"/>
      <c r="BX128" s="151"/>
      <c r="BY128" s="797"/>
      <c r="BZ128" s="797"/>
      <c r="CA128" s="797"/>
      <c r="CB128" s="797"/>
      <c r="CC128" s="797"/>
      <c r="CD128" s="797"/>
      <c r="CE128" s="797"/>
      <c r="CF128" s="797"/>
      <c r="CG128" s="797"/>
      <c r="CH128" s="797"/>
      <c r="CI128" s="797"/>
      <c r="CJ128" s="797"/>
      <c r="CK128" s="797"/>
      <c r="CL128" s="797"/>
      <c r="CM128" s="797"/>
      <c r="CN128" s="797"/>
      <c r="CO128" s="797"/>
      <c r="CP128" s="797"/>
      <c r="CQ128" s="797"/>
      <c r="CR128" s="797"/>
      <c r="CS128" s="797"/>
      <c r="CT128" s="797"/>
      <c r="CU128" s="797"/>
    </row>
    <row r="129" spans="1:99" x14ac:dyDescent="0.25">
      <c r="A129" s="163">
        <f>((A123+A122+A121+A120)/4-A123-A118*-1)</f>
        <v>244.5236566160022</v>
      </c>
      <c r="B129" s="154">
        <f>B120/2</f>
        <v>111.81735205707551</v>
      </c>
      <c r="C129" s="154">
        <f>(B119+C123)/2</f>
        <v>217.33210440911034</v>
      </c>
      <c r="D129" s="163">
        <f>(A128+A127+B129)/3</f>
        <v>154.91028867207191</v>
      </c>
      <c r="E129" s="163">
        <f>(A123+A122+B129)/3</f>
        <v>187.32309802275384</v>
      </c>
      <c r="F129" s="403">
        <f>E126+(C133*-1)-E126-E130</f>
        <v>4.0168111529960715</v>
      </c>
      <c r="G129" s="403"/>
      <c r="H129" s="396">
        <f>(P129+N129)/2</f>
        <v>348.83174873827852</v>
      </c>
      <c r="I129" s="403"/>
      <c r="J129" s="403"/>
      <c r="K129" s="403"/>
      <c r="L129" s="403"/>
      <c r="M129" s="403"/>
      <c r="N129" s="411">
        <f>((N128+N127)/2/Q123)</f>
        <v>0.98624795471668425</v>
      </c>
      <c r="O129" s="408">
        <f>((A121+D127)/2)*Q132/Q124</f>
        <v>960.31815319156544</v>
      </c>
      <c r="P129" s="412">
        <f>((B129+E128)/2)*Q132/Q124</f>
        <v>696.67724952184039</v>
      </c>
      <c r="Q129" s="397">
        <f>(Q128*Q126/10)</f>
        <v>4.2300804881679319</v>
      </c>
      <c r="R129" s="381">
        <f>(R128+R127+F133)/3</f>
        <v>45920.575412592407</v>
      </c>
      <c r="S129" s="413">
        <f>(R124+R125+R123+F130+O133)/5</f>
        <v>1313.6801537402175</v>
      </c>
      <c r="T129" s="163">
        <f>((T123+T122+T121+T120)/4-T123-T118*-1)</f>
        <v>240.24828636803591</v>
      </c>
      <c r="U129" s="154">
        <f>U120/2</f>
        <v>109.89305435215742</v>
      </c>
      <c r="V129" s="154">
        <f>(U119+V123)/2</f>
        <v>213.70853626361986</v>
      </c>
      <c r="W129" s="163">
        <f>(T128+T127+U129)/3</f>
        <v>153.78320846371383</v>
      </c>
      <c r="X129" s="163">
        <f>(T123+T122+U129)/3</f>
        <v>184.50701839159186</v>
      </c>
      <c r="Y129" s="149">
        <f>X126+(V133*-1)-X126-X130</f>
        <v>4.5346253477315521</v>
      </c>
      <c r="Z129" s="149"/>
      <c r="AA129" s="191">
        <f>(AI129+AG129)/2</f>
        <v>348.90894649113113</v>
      </c>
      <c r="AB129" s="149"/>
      <c r="AC129" s="149"/>
      <c r="AD129" s="149"/>
      <c r="AE129" s="149"/>
      <c r="AF129" s="149"/>
      <c r="AG129" s="207">
        <f>((AG128+AG127)/2/AJ123)</f>
        <v>0.98526017557948586</v>
      </c>
      <c r="AH129" s="212">
        <f>((T121+W127)/2)*AJ132/AJ124</f>
        <v>958.30186290903123</v>
      </c>
      <c r="AI129" s="213">
        <f>((U129+X128)/2)*AJ132/AJ124</f>
        <v>696.8326328066828</v>
      </c>
      <c r="AJ129" s="162">
        <f>(AJ128*AJ126/10)</f>
        <v>6.047359243574439</v>
      </c>
      <c r="AK129" s="152">
        <f>(AK128+AK127+Y133)/3</f>
        <v>857.4831692276274</v>
      </c>
      <c r="AL129" s="151"/>
      <c r="AM129" s="163">
        <f>((AM123+AM122+AM121+AM120)/4-AM123-AM118*-1)</f>
        <v>245.80430967471798</v>
      </c>
      <c r="AN129" s="154">
        <f>AN120/2</f>
        <v>112.31916966840993</v>
      </c>
      <c r="AO129" s="154">
        <f>(AN119+AO123)/2</f>
        <v>218.27428437606738</v>
      </c>
      <c r="AP129" s="163">
        <f>(AM128+AM127+AN129)/3</f>
        <v>155.65997304714122</v>
      </c>
      <c r="AQ129" s="163">
        <f>(AM123+AM122+AN129)/3</f>
        <v>188.26660873200368</v>
      </c>
      <c r="AR129" s="403">
        <f>AQ126+(AO133*-1)-AQ126-AQ130</f>
        <v>4.1895476291918623</v>
      </c>
      <c r="AS129" s="403"/>
      <c r="AT129" s="396">
        <f>(BB129+AZ129)/2</f>
        <v>438.04428640977864</v>
      </c>
      <c r="AU129" s="403"/>
      <c r="AV129" s="403"/>
      <c r="AW129" s="403"/>
      <c r="AX129" s="403"/>
      <c r="AY129" s="403"/>
      <c r="AZ129" s="411">
        <f>((AZ128+AZ127)/2/BC123)</f>
        <v>0.99770376402753924</v>
      </c>
      <c r="BA129" s="408">
        <f>((AM121+AP127)/2)*BC132/BC124</f>
        <v>1205.5637410217605</v>
      </c>
      <c r="BB129" s="412">
        <f>((AN129+AQ128)/2)*BC132/BC124</f>
        <v>875.09086905552977</v>
      </c>
      <c r="BC129" s="397">
        <f>(BC128*BC126/10)</f>
        <v>5.1219751859052476</v>
      </c>
      <c r="BD129" s="381">
        <f>(BD128+BD127+AR133)/3</f>
        <v>57121.590042968222</v>
      </c>
      <c r="BE129" s="413">
        <f>(BD124+BD125+BD123+AR130+BA133)/5</f>
        <v>1686.2118397771396</v>
      </c>
      <c r="BF129" s="163">
        <f>((BF123+BF122+BF121+BF120)/4-BF123-BF118*-1)</f>
        <v>239.29392000081918</v>
      </c>
      <c r="BG129" s="154">
        <f>BG120/2</f>
        <v>109.48205247783424</v>
      </c>
      <c r="BH129" s="154">
        <f>(BG119+BH123)/2</f>
        <v>212.93530278868514</v>
      </c>
      <c r="BI129" s="163">
        <f>(BF128+BF127+BG129)/3</f>
        <v>153.42942023822431</v>
      </c>
      <c r="BJ129" s="163">
        <f>(BF123+BF122+BG129)/3</f>
        <v>183.85361827746235</v>
      </c>
      <c r="BK129" s="149">
        <f>BJ126+(BH133*-1)-BJ126-BJ130</f>
        <v>4.4198212192286714</v>
      </c>
      <c r="BL129" s="149"/>
      <c r="BM129" s="191">
        <f>(BU129+BS129)/2</f>
        <v>438.31990767709573</v>
      </c>
      <c r="BN129" s="149"/>
      <c r="BO129" s="149"/>
      <c r="BP129" s="149"/>
      <c r="BQ129" s="149"/>
      <c r="BR129" s="149"/>
      <c r="BS129" s="207">
        <f>((BS128+BS127)/2/BV123)</f>
        <v>0.99677546000477268</v>
      </c>
      <c r="BT129" s="212">
        <f>((BF121+BI127)/2)*BV132/BV124</f>
        <v>1203.9522996673263</v>
      </c>
      <c r="BU129" s="213">
        <f>((BG129+BJ128)/2)*BV132/BV124</f>
        <v>875.6430398941867</v>
      </c>
      <c r="BV129" s="162">
        <f>(BV128*BV126/10)</f>
        <v>5.8481086983417976</v>
      </c>
      <c r="BW129" s="152">
        <f>(BW128+BW127+BK133)/3</f>
        <v>1267.3415223502186</v>
      </c>
      <c r="BX129" s="151"/>
      <c r="BY129" s="797"/>
      <c r="BZ129" s="797"/>
      <c r="CA129" s="797"/>
      <c r="CB129" s="797"/>
      <c r="CC129" s="797"/>
      <c r="CD129" s="797"/>
      <c r="CE129" s="797"/>
      <c r="CF129" s="797"/>
      <c r="CG129" s="797"/>
      <c r="CH129" s="797"/>
      <c r="CI129" s="797"/>
      <c r="CJ129" s="797"/>
      <c r="CK129" s="797"/>
      <c r="CL129" s="797"/>
      <c r="CM129" s="797"/>
      <c r="CN129" s="797"/>
      <c r="CO129" s="797"/>
      <c r="CP129" s="797"/>
      <c r="CQ129" s="797"/>
      <c r="CR129" s="797"/>
      <c r="CS129" s="797"/>
      <c r="CT129" s="797"/>
      <c r="CU129" s="797"/>
    </row>
    <row r="130" spans="1:99" x14ac:dyDescent="0.25">
      <c r="A130" s="163">
        <f>(A123+A128)/2</f>
        <v>205.26796867232338</v>
      </c>
      <c r="B130" s="154">
        <f>(A120+B122)/2</f>
        <v>231.19782376019987</v>
      </c>
      <c r="C130" s="154">
        <f>(A119*C122)</f>
        <v>1.4272864604459087E-3</v>
      </c>
      <c r="D130" s="154">
        <f>(A120+B130)/2</f>
        <v>232.45834370120798</v>
      </c>
      <c r="E130" s="154">
        <f>(D130-A118)-(A118-A121)</f>
        <v>-4.1430537238921374</v>
      </c>
      <c r="F130" s="414">
        <f>(N130+H130)/2</f>
        <v>1042.3536723051211</v>
      </c>
      <c r="G130" s="403"/>
      <c r="H130" s="415">
        <f>A129*Q132/Q124</f>
        <v>1086.7718071822319</v>
      </c>
      <c r="I130" s="403"/>
      <c r="J130" s="403"/>
      <c r="K130" s="403"/>
      <c r="L130" s="403"/>
      <c r="M130" s="403"/>
      <c r="N130" s="416">
        <f>(N128+P127)/2</f>
        <v>997.93553742801009</v>
      </c>
      <c r="O130" s="417">
        <f>((E127+A127)/2)*Q132/Q124</f>
        <v>1329.2395644908077</v>
      </c>
      <c r="P130" s="409">
        <f>((E128+E130/10)/2)*Q132/Q124</f>
        <v>447.27356634525216</v>
      </c>
      <c r="Q130" s="163">
        <f>(Q129+C133)</f>
        <v>4.3563230590639979</v>
      </c>
      <c r="R130" s="152"/>
      <c r="S130" s="151"/>
      <c r="T130" s="163">
        <f>(T123+T128)/2</f>
        <v>202.87274152783368</v>
      </c>
      <c r="U130" s="154">
        <f>(T120+U122)/2</f>
        <v>227.07919563314883</v>
      </c>
      <c r="V130" s="154">
        <f>(T119*V122)</f>
        <v>9.4601625165171275E-4</v>
      </c>
      <c r="W130" s="154">
        <f>(T120+U130)/2</f>
        <v>228.29471012128784</v>
      </c>
      <c r="X130" s="154">
        <f>(W130-T118)-(T118-T121)</f>
        <v>-5.2712979021274577</v>
      </c>
      <c r="Y130" s="191">
        <f>(AG130+AA130)/2</f>
        <v>1040.190395093344</v>
      </c>
      <c r="Z130" s="149"/>
      <c r="AA130" s="314">
        <f>T129*AJ132/AJ124</f>
        <v>1083.472664012711</v>
      </c>
      <c r="AB130" s="149"/>
      <c r="AC130" s="149"/>
      <c r="AD130" s="149"/>
      <c r="AE130" s="149"/>
      <c r="AF130" s="149"/>
      <c r="AG130" s="207">
        <f>(AG128+AI127)/2</f>
        <v>996.90812617397705</v>
      </c>
      <c r="AH130" s="212">
        <f>((X127+T127)/2)*AJ132/AJ124</f>
        <v>1336.5227916658716</v>
      </c>
      <c r="AI130" s="213">
        <f>((X128+X130/10)/2)*AJ132/AJ124</f>
        <v>447.84594307388744</v>
      </c>
      <c r="AJ130" s="163">
        <f>(AJ129+V133)</f>
        <v>6.7840317979703446</v>
      </c>
      <c r="AK130" s="152"/>
      <c r="AL130" s="151"/>
      <c r="AM130" s="163">
        <f>(AM123+AM128)/2</f>
        <v>206.27584962113792</v>
      </c>
      <c r="AN130" s="154">
        <f>(AM120+AN122)/2</f>
        <v>232.27520528972275</v>
      </c>
      <c r="AO130" s="154">
        <f>(AM119*AO122)</f>
        <v>1.2204731127776233E-3</v>
      </c>
      <c r="AP130" s="154">
        <f>(AM120+AN130)/2</f>
        <v>233.54801628187323</v>
      </c>
      <c r="AQ130" s="154">
        <f>(AP130-AM118)-(AM118-AM121)</f>
        <v>-4.4767888461119014</v>
      </c>
      <c r="AR130" s="414">
        <f>(AZ130+AT130)/2</f>
        <v>1309.5663669191688</v>
      </c>
      <c r="AS130" s="403"/>
      <c r="AT130" s="415">
        <f>AM129*BC132/BC124</f>
        <v>1365.5794981928777</v>
      </c>
      <c r="AU130" s="403"/>
      <c r="AV130" s="403"/>
      <c r="AW130" s="403"/>
      <c r="AX130" s="403"/>
      <c r="AY130" s="403"/>
      <c r="AZ130" s="416">
        <f>(AZ128+BB127)/2</f>
        <v>1253.5532356454598</v>
      </c>
      <c r="BA130" s="417">
        <f>((AQ127+AM127)/2)*BC132/BC124</f>
        <v>1670.1834822533947</v>
      </c>
      <c r="BB130" s="409">
        <f>((AQ128+AQ130/10)/2)*BC132/BC124</f>
        <v>561.8496230749156</v>
      </c>
      <c r="BC130" s="163">
        <f>(BC129+AO133)</f>
        <v>5.4092164028252867</v>
      </c>
      <c r="BD130" s="152"/>
      <c r="BE130" s="151"/>
      <c r="BF130" s="163">
        <f>(BF123+BF128)/2</f>
        <v>202.26605829833159</v>
      </c>
      <c r="BG130" s="154">
        <f>(BF120+BG122)/2</f>
        <v>226.19866755604852</v>
      </c>
      <c r="BH130" s="154">
        <f>(BF119*BH122)</f>
        <v>9.2597616816673489E-4</v>
      </c>
      <c r="BI130" s="154">
        <f>(BF120+BG130)/2</f>
        <v>227.4044279894452</v>
      </c>
      <c r="BJ130" s="154">
        <f>(BI130-BF118)-(BF118-BF121)</f>
        <v>-5.3563528766124477</v>
      </c>
      <c r="BK130" s="191">
        <f>(BS130+BM130)/2</f>
        <v>1306.578183113214</v>
      </c>
      <c r="BL130" s="149"/>
      <c r="BM130" s="314">
        <f>BF129*BV132/BV124</f>
        <v>1360.6909176517167</v>
      </c>
      <c r="BN130" s="149"/>
      <c r="BO130" s="149"/>
      <c r="BP130" s="149"/>
      <c r="BQ130" s="149"/>
      <c r="BR130" s="149"/>
      <c r="BS130" s="207">
        <f>(BS128+BU127)/2</f>
        <v>1252.4654485747114</v>
      </c>
      <c r="BT130" s="212">
        <f>((BJ127+BF127)/2)*BV132/BV124</f>
        <v>1680.6858347162149</v>
      </c>
      <c r="BU130" s="213">
        <f>((BJ128+BJ130/10)/2)*BV132/BV124</f>
        <v>562.84765310993487</v>
      </c>
      <c r="BV130" s="163">
        <f>(BV129+BH133)</f>
        <v>6.7846403557255739</v>
      </c>
      <c r="BW130" s="152"/>
      <c r="BX130" s="151"/>
      <c r="BY130" s="797"/>
      <c r="BZ130" s="797"/>
      <c r="CA130" s="797"/>
      <c r="CB130" s="797"/>
      <c r="CC130" s="797"/>
      <c r="CD130" s="797"/>
      <c r="CE130" s="797"/>
      <c r="CF130" s="797"/>
      <c r="CG130" s="797"/>
      <c r="CH130" s="797"/>
      <c r="CI130" s="797"/>
      <c r="CJ130" s="797"/>
      <c r="CK130" s="797"/>
      <c r="CL130" s="797"/>
      <c r="CM130" s="797"/>
      <c r="CN130" s="797"/>
      <c r="CO130" s="797"/>
      <c r="CP130" s="797"/>
      <c r="CQ130" s="797"/>
      <c r="CR130" s="797"/>
      <c r="CS130" s="797"/>
      <c r="CT130" s="797"/>
      <c r="CU130" s="797"/>
    </row>
    <row r="131" spans="1:99" x14ac:dyDescent="0.25">
      <c r="A131" s="163">
        <f>(A119*-1)+A126</f>
        <v>-80.673276224520691</v>
      </c>
      <c r="B131" s="163">
        <f>(A132*-1)+A131</f>
        <v>-5.7650675657679926</v>
      </c>
      <c r="C131" s="163">
        <f>(B131/2)+A119</f>
        <v>0</v>
      </c>
      <c r="D131" s="154"/>
      <c r="E131" s="163">
        <f>(C131*A119)+D124</f>
        <v>7.49176260828105</v>
      </c>
      <c r="F131" s="396">
        <f>A127*Q132/Q132</f>
        <v>147.28522856395634</v>
      </c>
      <c r="G131" s="396">
        <f>(E131+F131)</f>
        <v>154.77699117223739</v>
      </c>
      <c r="H131" s="418">
        <f>(O132+H129)/2</f>
        <v>1176.3549309400437</v>
      </c>
      <c r="I131" s="403"/>
      <c r="J131" s="403"/>
      <c r="K131" s="403"/>
      <c r="L131" s="403"/>
      <c r="M131" s="403"/>
      <c r="N131" s="419">
        <f>(O128+H128+O128)/3</f>
        <v>1049.1109567140822</v>
      </c>
      <c r="O131" s="408">
        <f>((B122+E130)/2)*Q132/Q124</f>
        <v>498.96384478731431</v>
      </c>
      <c r="P131" s="420">
        <f>D127*Q132/Q124</f>
        <v>971.52277488941547</v>
      </c>
      <c r="Q131" s="164">
        <f>((Q130*Q129*C133*-1)*Q132*Q121*Q122)*0.51</f>
        <v>15.925886571255917</v>
      </c>
      <c r="R131" s="152"/>
      <c r="S131" s="151"/>
      <c r="T131" s="163">
        <f>(T119*-1)+T126</f>
        <v>-77.792927240895779</v>
      </c>
      <c r="U131" s="163">
        <f>(T132*-1)+T131</f>
        <v>-8.1115668279769579</v>
      </c>
      <c r="V131" s="163">
        <f>(U131/2)+T119</f>
        <v>0</v>
      </c>
      <c r="W131" s="154"/>
      <c r="X131" s="163">
        <f>(V131*T119)+W124</f>
        <v>7.8623612500614257</v>
      </c>
      <c r="Y131" s="191">
        <f>T127*AJ132/AJ132</f>
        <v>148.07685658440178</v>
      </c>
      <c r="Z131" s="191">
        <f>(X131+Y131)</f>
        <v>155.93921783446319</v>
      </c>
      <c r="AA131" s="149">
        <f>(AH132+AA129)/2</f>
        <v>1177.0784706524921</v>
      </c>
      <c r="AB131" s="149"/>
      <c r="AC131" s="149"/>
      <c r="AD131" s="149"/>
      <c r="AE131" s="149"/>
      <c r="AF131" s="149"/>
      <c r="AG131" s="421">
        <f>(AH128+AA128+AH128)/3</f>
        <v>1045.7830807365976</v>
      </c>
      <c r="AH131" s="212">
        <f>((U122+X130)/2)*AJ132/AJ124</f>
        <v>494.67333150579384</v>
      </c>
      <c r="AI131" s="213">
        <f>W127*AJ132/AJ124</f>
        <v>969.26532691969669</v>
      </c>
      <c r="AJ131" s="164">
        <f>((AJ130*AJ129*V133*-1)*AJ132*AJ121*AJ122)*0.51</f>
        <v>176.37286700153032</v>
      </c>
      <c r="AK131" s="152"/>
      <c r="AL131" s="151"/>
      <c r="AM131" s="163">
        <f>(AM119*-1)+AM126</f>
        <v>-81.459903497631217</v>
      </c>
      <c r="AN131" s="163">
        <f>(AM132*-1)+AM131</f>
        <v>-6.4079557079227811</v>
      </c>
      <c r="AO131" s="163">
        <f>(AN131/2)+AM119</f>
        <v>0</v>
      </c>
      <c r="AP131" s="154"/>
      <c r="AQ131" s="163">
        <f>(AO131*AM119)+AP124</f>
        <v>7.7114816893030351</v>
      </c>
      <c r="AR131" s="396">
        <f>AM127*BC132/BC132</f>
        <v>147.98440262013071</v>
      </c>
      <c r="AS131" s="396">
        <f>(AQ131+AR131)</f>
        <v>155.69588430943375</v>
      </c>
      <c r="AT131" s="418">
        <f>(BA132+AT129)/2</f>
        <v>1478.1378404023653</v>
      </c>
      <c r="AU131" s="403"/>
      <c r="AV131" s="403"/>
      <c r="AW131" s="403"/>
      <c r="AX131" s="403"/>
      <c r="AY131" s="403"/>
      <c r="AZ131" s="419">
        <f>(BA128+AT128+BA128)/3</f>
        <v>1317.8067494385705</v>
      </c>
      <c r="BA131" s="408">
        <f>((AN122+AQ130)/2)*BC132/BC124</f>
        <v>625.70220683141633</v>
      </c>
      <c r="BB131" s="420">
        <f>AP127*BC132/BC124</f>
        <v>1219.7060853789883</v>
      </c>
      <c r="BC131" s="164">
        <f>((BC130*BC129*AO133*-1)*BC132*BC121*BC122)*0.51</f>
        <v>81.664313904944109</v>
      </c>
      <c r="BD131" s="152"/>
      <c r="BE131" s="151"/>
      <c r="BF131" s="163">
        <f>(BF119*-1)+BF126</f>
        <v>-77.168667737387068</v>
      </c>
      <c r="BG131" s="163">
        <f>(BF132*-1)+BF131</f>
        <v>-8.3011848864315425</v>
      </c>
      <c r="BH131" s="163">
        <f>(BG131/2)+BF119</f>
        <v>0</v>
      </c>
      <c r="BI131" s="154"/>
      <c r="BJ131" s="163">
        <f>(BH131*BF119)+BI124</f>
        <v>7.862946301911915</v>
      </c>
      <c r="BK131" s="191">
        <f>BF127*BV132/BV132</f>
        <v>148.02132588310508</v>
      </c>
      <c r="BL131" s="191">
        <f>(BJ131+BK131)</f>
        <v>155.88427218501698</v>
      </c>
      <c r="BM131" s="149">
        <f>(BT132+BM129)/2</f>
        <v>1479.0008424165226</v>
      </c>
      <c r="BN131" s="149"/>
      <c r="BO131" s="149"/>
      <c r="BP131" s="149"/>
      <c r="BQ131" s="149"/>
      <c r="BR131" s="149"/>
      <c r="BS131" s="421">
        <f>(BT128+BM128+BT128)/3</f>
        <v>1313.4450037615459</v>
      </c>
      <c r="BT131" s="212">
        <f>((BG122+BJ130)/2)*BV132/BV124</f>
        <v>621.02872750653319</v>
      </c>
      <c r="BU131" s="213">
        <f>BI127*BV132/BV124</f>
        <v>1217.6648693020338</v>
      </c>
      <c r="BV131" s="164">
        <f>((BV130*BV129*BH133*-1)*BV132*BV121*BV122)*0.51</f>
        <v>266.55529345258202</v>
      </c>
      <c r="BW131" s="152"/>
      <c r="BX131" s="151"/>
      <c r="BY131" s="797"/>
      <c r="BZ131" s="797"/>
      <c r="CA131" s="797"/>
      <c r="CB131" s="797"/>
      <c r="CC131" s="797"/>
      <c r="CD131" s="797"/>
      <c r="CE131" s="797"/>
      <c r="CF131" s="797"/>
      <c r="CG131" s="797"/>
      <c r="CH131" s="797"/>
      <c r="CI131" s="797"/>
      <c r="CJ131" s="797"/>
      <c r="CK131" s="797"/>
      <c r="CL131" s="797"/>
      <c r="CM131" s="797"/>
      <c r="CN131" s="797"/>
      <c r="CO131" s="797"/>
      <c r="CP131" s="797"/>
      <c r="CQ131" s="797"/>
      <c r="CR131" s="797"/>
      <c r="CS131" s="797"/>
      <c r="CT131" s="797"/>
      <c r="CU131" s="797"/>
    </row>
    <row r="132" spans="1:99" x14ac:dyDescent="0.25">
      <c r="A132" s="163">
        <f>A119+A126</f>
        <v>-74.908208658752699</v>
      </c>
      <c r="B132" s="163">
        <f>(A133+(A131*-1)+A132)</f>
        <v>-149.8164173175054</v>
      </c>
      <c r="C132" s="154">
        <f>(B132/10)</f>
        <v>-14.981641731750539</v>
      </c>
      <c r="D132" s="154"/>
      <c r="E132" s="154">
        <f>((D128+B129)/2)*Q132</f>
        <v>983.9675401923414</v>
      </c>
      <c r="F132" s="187">
        <f>((E127+B129)/2)*Q132/Q124</f>
        <v>1250.4220611421833</v>
      </c>
      <c r="G132" s="403"/>
      <c r="H132" s="403">
        <f>(Q133/2)</f>
        <v>450.15194201118607</v>
      </c>
      <c r="I132" s="403"/>
      <c r="J132" s="403"/>
      <c r="K132" s="403"/>
      <c r="L132" s="403"/>
      <c r="M132" s="403"/>
      <c r="N132" s="396">
        <f>(Q133/2)/Q124</f>
        <v>500.16882445687338</v>
      </c>
      <c r="O132" s="422">
        <f>E127*Q132/Q124</f>
        <v>2003.8781131418091</v>
      </c>
      <c r="P132" s="409">
        <f>((B119+A122)/2)*Q132/Q124</f>
        <v>1030.7486986929814</v>
      </c>
      <c r="Q132" s="322">
        <f>ROUND(O125,N133)</f>
        <v>4</v>
      </c>
      <c r="R132" s="247">
        <f>(P127+P129)/2</f>
        <v>845.30463390347802</v>
      </c>
      <c r="S132" s="151"/>
      <c r="T132" s="163">
        <f>T119+T126</f>
        <v>-69.681360412918821</v>
      </c>
      <c r="U132" s="163">
        <f>(T133+(T131*-1)+T132)</f>
        <v>-139.36272082583764</v>
      </c>
      <c r="V132" s="154">
        <f>(U132/10)</f>
        <v>-13.936272082583764</v>
      </c>
      <c r="W132" s="154"/>
      <c r="X132" s="154">
        <f>((W128+U129)/2)*AJ132</f>
        <v>558.60531214413777</v>
      </c>
      <c r="Y132" s="149">
        <f>((X127+U129)/2)*AJ132/AJ124</f>
        <v>1250.4220611421833</v>
      </c>
      <c r="Z132" s="149"/>
      <c r="AA132" s="149">
        <f>(AJ133/2)</f>
        <v>255.08610047300542</v>
      </c>
      <c r="AB132" s="149"/>
      <c r="AC132" s="149"/>
      <c r="AD132" s="149"/>
      <c r="AE132" s="149"/>
      <c r="AF132" s="149"/>
      <c r="AG132" s="191">
        <f>(AJ133/2)/AJ124</f>
        <v>500.16882445687338</v>
      </c>
      <c r="AH132" s="423">
        <f>X127*AJ132/AJ124</f>
        <v>2005.247994813853</v>
      </c>
      <c r="AI132" s="213">
        <f>((U119+T122)/2)*AJ132/AJ124</f>
        <v>1028.6553439593836</v>
      </c>
      <c r="AJ132" s="322">
        <f>ROUND(AH125,AG133)</f>
        <v>2.2999999999999998</v>
      </c>
      <c r="AK132" s="247">
        <f>(AI127+AI129)/2</f>
        <v>844.0124438738552</v>
      </c>
      <c r="AL132" s="151"/>
      <c r="AM132" s="163">
        <f>AM119+AM126</f>
        <v>-75.051947789708436</v>
      </c>
      <c r="AN132" s="163">
        <f>(AM133+(AM131*-1)+AM132)</f>
        <v>-150.10389557941687</v>
      </c>
      <c r="AO132" s="154">
        <f>(AN132/10)</f>
        <v>-15.010389557941687</v>
      </c>
      <c r="AP132" s="154"/>
      <c r="AQ132" s="154">
        <f>((AP128+AN129)/2)*BC132</f>
        <v>1236.0492989880606</v>
      </c>
      <c r="AR132" s="187">
        <f>((AQ127+AN129)/2)*BC132/BC124</f>
        <v>1571.1133907208371</v>
      </c>
      <c r="AS132" s="403"/>
      <c r="AT132" s="403">
        <f>(BC133/2)</f>
        <v>565.60082065950132</v>
      </c>
      <c r="AU132" s="403"/>
      <c r="AV132" s="403"/>
      <c r="AW132" s="403"/>
      <c r="AX132" s="403"/>
      <c r="AY132" s="403"/>
      <c r="AZ132" s="396">
        <f>(BC133/2)/BC124</f>
        <v>628.44535628833478</v>
      </c>
      <c r="BA132" s="422">
        <f>AQ127*BC132/BC124</f>
        <v>2518.2313943949521</v>
      </c>
      <c r="BB132" s="409">
        <f>((AN119+AM122)/2)*BC132/BC124</f>
        <v>1294.8677764067395</v>
      </c>
      <c r="BC132" s="322">
        <f>ROUND(BA125,AZ133)</f>
        <v>5</v>
      </c>
      <c r="BD132" s="247">
        <f>(BB127+BB129)/2</f>
        <v>1061.5408215744867</v>
      </c>
      <c r="BE132" s="151"/>
      <c r="BF132" s="163">
        <f>BF119+BF126</f>
        <v>-68.867482850955525</v>
      </c>
      <c r="BG132" s="163">
        <f>(BF133+(BF131*-1)+BF132)</f>
        <v>-137.73496570191105</v>
      </c>
      <c r="BH132" s="154">
        <f>(BG132/10)</f>
        <v>-13.773496570191105</v>
      </c>
      <c r="BI132" s="154"/>
      <c r="BJ132" s="154">
        <f>((BI128+BG129)/2)*BV132</f>
        <v>702.10491458550212</v>
      </c>
      <c r="BK132" s="149">
        <f>((BJ127+BG129)/2)*BV132/BV124</f>
        <v>1571.1133907208371</v>
      </c>
      <c r="BL132" s="149"/>
      <c r="BM132" s="149">
        <f>(BV133/2)</f>
        <v>320.50713170705075</v>
      </c>
      <c r="BN132" s="149"/>
      <c r="BO132" s="149"/>
      <c r="BP132" s="149"/>
      <c r="BQ132" s="149"/>
      <c r="BR132" s="149"/>
      <c r="BS132" s="191">
        <f>(BV133/2)/BV124</f>
        <v>628.44535628833478</v>
      </c>
      <c r="BT132" s="423">
        <f>BJ127*BV132/BV124</f>
        <v>2519.6817771559495</v>
      </c>
      <c r="BU132" s="213">
        <f>((BG119+BF122)/2)*BV132/BV124</f>
        <v>1292.1280694781808</v>
      </c>
      <c r="BV132" s="322">
        <f>ROUND(BT125,BS133)</f>
        <v>2.9</v>
      </c>
      <c r="BW132" s="247">
        <f>(BU127+BU129)/2</f>
        <v>1060.3665242328175</v>
      </c>
      <c r="BX132" s="151"/>
      <c r="BY132" s="797"/>
      <c r="BZ132" s="797"/>
      <c r="CA132" s="797"/>
      <c r="CB132" s="797"/>
      <c r="CC132" s="797"/>
      <c r="CD132" s="797"/>
      <c r="CE132" s="797"/>
      <c r="CF132" s="797"/>
      <c r="CG132" s="797"/>
      <c r="CH132" s="797"/>
      <c r="CI132" s="797"/>
      <c r="CJ132" s="797"/>
      <c r="CK132" s="797"/>
      <c r="CL132" s="797"/>
      <c r="CM132" s="797"/>
      <c r="CN132" s="797"/>
      <c r="CO132" s="797"/>
      <c r="CP132" s="797"/>
      <c r="CQ132" s="797"/>
      <c r="CR132" s="797"/>
      <c r="CS132" s="797"/>
      <c r="CT132" s="797"/>
      <c r="CU132" s="797"/>
    </row>
    <row r="133" spans="1:99" x14ac:dyDescent="0.25">
      <c r="A133" s="191">
        <f>(A131+A132)</f>
        <v>-155.58148488327339</v>
      </c>
      <c r="B133" s="149"/>
      <c r="C133" s="162">
        <f>INT(C126)-C126+N133</f>
        <v>0.12624257089606594</v>
      </c>
      <c r="D133" s="149"/>
      <c r="E133" s="191" t="s">
        <v>53</v>
      </c>
      <c r="F133" s="418">
        <f>((O133+B129+E127)/3)*Q132/Q124</f>
        <v>2548.3637924522122</v>
      </c>
      <c r="G133" s="403"/>
      <c r="H133" s="403">
        <f>ROUND(H132,2)</f>
        <v>450.15</v>
      </c>
      <c r="I133" s="403"/>
      <c r="J133" s="403"/>
      <c r="K133" s="403"/>
      <c r="L133" s="403"/>
      <c r="M133" s="403"/>
      <c r="N133" s="403">
        <v>1</v>
      </c>
      <c r="O133" s="424">
        <f>((B119+B129+E127)/3)*Q132/Q124</f>
        <v>1157.4556323912609</v>
      </c>
      <c r="P133" s="425">
        <f>(Q133/Q132)</f>
        <v>225.07597100559303</v>
      </c>
      <c r="Q133" s="152">
        <f>P119*Q124</f>
        <v>900.30388402237213</v>
      </c>
      <c r="R133" s="247">
        <f>(F128+P129)/2</f>
        <v>862.51191836454257</v>
      </c>
      <c r="S133" s="151"/>
      <c r="T133" s="191">
        <f>(T131+T132)</f>
        <v>-147.4742876538146</v>
      </c>
      <c r="U133" s="149"/>
      <c r="V133" s="162">
        <f>INT(V126)-V126+AG133</f>
        <v>0.73667255439590562</v>
      </c>
      <c r="W133" s="149"/>
      <c r="X133" s="191" t="s">
        <v>53</v>
      </c>
      <c r="Y133" s="149">
        <f>((AH133+U129+X127)/3)*AJ132/AJ124</f>
        <v>2572.4495076828821</v>
      </c>
      <c r="Z133" s="149"/>
      <c r="AA133" s="149">
        <f>ROUND(AA132,2)</f>
        <v>255.09</v>
      </c>
      <c r="AB133" s="149"/>
      <c r="AC133" s="149"/>
      <c r="AD133" s="149"/>
      <c r="AE133" s="149"/>
      <c r="AF133" s="149"/>
      <c r="AG133" s="149">
        <v>1</v>
      </c>
      <c r="AH133" s="426">
        <f>((U119+U129+X127)/3)*AJ132/AJ124</f>
        <v>1156.7031497346879</v>
      </c>
      <c r="AI133" s="427">
        <f>(AJ133/AJ132)</f>
        <v>221.81400041130908</v>
      </c>
      <c r="AJ133" s="152">
        <f>AI119*AJ124</f>
        <v>510.17220094601083</v>
      </c>
      <c r="AK133" s="247">
        <f>(Y128+AI129)/2</f>
        <v>861.02922701314833</v>
      </c>
      <c r="AL133" s="151"/>
      <c r="AM133" s="191">
        <f>(AM131+AM132)</f>
        <v>-156.51185128733965</v>
      </c>
      <c r="AN133" s="149"/>
      <c r="AO133" s="162">
        <f>INT(AO126)-AO126+AZ133</f>
        <v>0.28724121692003912</v>
      </c>
      <c r="AP133" s="149"/>
      <c r="AQ133" s="191" t="s">
        <v>53</v>
      </c>
      <c r="AR133" s="418">
        <f>((BA133+AN129+AQ127)/3)*BC132/BC124</f>
        <v>3739.9600795056581</v>
      </c>
      <c r="AS133" s="403"/>
      <c r="AT133" s="403">
        <f>ROUND(AT132,2)</f>
        <v>565.6</v>
      </c>
      <c r="AU133" s="403"/>
      <c r="AV133" s="403"/>
      <c r="AW133" s="403"/>
      <c r="AX133" s="403"/>
      <c r="AY133" s="403"/>
      <c r="AZ133" s="403">
        <v>1</v>
      </c>
      <c r="BA133" s="424">
        <f>((AN119+AN129+AQ127)/3)*BC132/BC124</f>
        <v>1453.9776222735541</v>
      </c>
      <c r="BB133" s="425">
        <f>(BC133/BC132)</f>
        <v>226.24032826380054</v>
      </c>
      <c r="BC133" s="152">
        <f>BB119*BC124</f>
        <v>1131.2016413190026</v>
      </c>
      <c r="BD133" s="247">
        <f>(AR128+BB129)/2</f>
        <v>1083.3105842655298</v>
      </c>
      <c r="BE133" s="151"/>
      <c r="BF133" s="191">
        <f>(BF131+BF132)</f>
        <v>-146.03615058834259</v>
      </c>
      <c r="BG133" s="149"/>
      <c r="BH133" s="162">
        <f>INT(BH126)-BH126+BS133</f>
        <v>0.93653165738377631</v>
      </c>
      <c r="BI133" s="149"/>
      <c r="BJ133" s="191" t="s">
        <v>53</v>
      </c>
      <c r="BK133" s="149">
        <f>((BT133+BG129+BJ127)/3)*BV132/BV124</f>
        <v>3802.0245670506561</v>
      </c>
      <c r="BL133" s="149"/>
      <c r="BM133" s="149">
        <f>ROUND(BM132,2)</f>
        <v>320.51</v>
      </c>
      <c r="BN133" s="149"/>
      <c r="BO133" s="149"/>
      <c r="BP133" s="149"/>
      <c r="BQ133" s="149"/>
      <c r="BR133" s="149"/>
      <c r="BS133" s="149">
        <v>1</v>
      </c>
      <c r="BT133" s="426">
        <f>((BG119+BG129+BJ127)/3)*BV132/BV124</f>
        <v>1453.2972169145692</v>
      </c>
      <c r="BU133" s="427">
        <f>(BV133/BV132)</f>
        <v>221.03940117727637</v>
      </c>
      <c r="BV133" s="152">
        <f>BU119*BV124</f>
        <v>641.01426341410149</v>
      </c>
      <c r="BW133" s="247">
        <f>(BK128+BU129)/2</f>
        <v>1081.6729226852046</v>
      </c>
      <c r="BX133" s="151"/>
      <c r="BY133" s="797"/>
      <c r="BZ133" s="797"/>
      <c r="CA133" s="797"/>
      <c r="CB133" s="797"/>
      <c r="CC133" s="797"/>
      <c r="CD133" s="797"/>
      <c r="CE133" s="797"/>
      <c r="CF133" s="797"/>
      <c r="CG133" s="797"/>
      <c r="CH133" s="797"/>
      <c r="CI133" s="797"/>
      <c r="CJ133" s="797"/>
      <c r="CK133" s="797"/>
      <c r="CL133" s="797"/>
      <c r="CM133" s="797"/>
      <c r="CN133" s="797"/>
      <c r="CO133" s="797"/>
      <c r="CP133" s="797"/>
      <c r="CQ133" s="797"/>
      <c r="CR133" s="797"/>
      <c r="CS133" s="797"/>
      <c r="CT133" s="797"/>
      <c r="CU133" s="797"/>
    </row>
    <row r="134" spans="1:99" x14ac:dyDescent="0.25">
      <c r="A134" s="171"/>
      <c r="B134" s="171"/>
      <c r="C134" s="171"/>
      <c r="D134" s="171"/>
      <c r="E134" s="171"/>
      <c r="F134" s="171"/>
      <c r="G134" s="171"/>
      <c r="H134" s="171"/>
      <c r="I134" s="171"/>
      <c r="J134" s="151"/>
      <c r="K134" s="151"/>
      <c r="L134" s="151"/>
      <c r="M134" s="151"/>
      <c r="N134" s="171"/>
      <c r="O134" s="171"/>
      <c r="P134" s="171" t="s">
        <v>54</v>
      </c>
      <c r="Q134" s="245" t="b">
        <f>IF(R134&gt;0,"M")</f>
        <v>0</v>
      </c>
      <c r="R134" s="245">
        <f>(R138*R136)</f>
        <v>-1</v>
      </c>
      <c r="S134" s="151"/>
      <c r="T134" s="171"/>
      <c r="U134" s="171"/>
      <c r="V134" s="171"/>
      <c r="W134" s="171"/>
      <c r="X134" s="171"/>
      <c r="Y134" s="171"/>
      <c r="Z134" s="171"/>
      <c r="AA134" s="171"/>
      <c r="AB134" s="171"/>
      <c r="AC134" s="151"/>
      <c r="AD134" s="151"/>
      <c r="AE134" s="151"/>
      <c r="AF134" s="151"/>
      <c r="AG134" s="171"/>
      <c r="AH134" s="171"/>
      <c r="AI134" s="171" t="s">
        <v>54</v>
      </c>
      <c r="AJ134" s="245" t="b">
        <f>IF(AK134&gt;0,"M")</f>
        <v>0</v>
      </c>
      <c r="AK134" s="245">
        <f>(AK138*AK136)</f>
        <v>-1</v>
      </c>
      <c r="AL134" s="151"/>
      <c r="AM134" s="171"/>
      <c r="AN134" s="171"/>
      <c r="AO134" s="171"/>
      <c r="AP134" s="171"/>
      <c r="AQ134" s="171"/>
      <c r="AR134" s="171"/>
      <c r="AS134" s="171"/>
      <c r="AT134" s="171"/>
      <c r="AU134" s="171"/>
      <c r="AV134" s="151"/>
      <c r="AW134" s="151"/>
      <c r="AX134" s="151"/>
      <c r="AY134" s="151"/>
      <c r="AZ134" s="171"/>
      <c r="BA134" s="171"/>
      <c r="BB134" s="171" t="s">
        <v>54</v>
      </c>
      <c r="BC134" s="245" t="b">
        <f>IF(BD134&gt;0,"M")</f>
        <v>0</v>
      </c>
      <c r="BD134" s="245">
        <f>(BD138*BD136)</f>
        <v>-1</v>
      </c>
      <c r="BE134" s="151"/>
      <c r="BF134" s="171"/>
      <c r="BG134" s="171"/>
      <c r="BH134" s="171"/>
      <c r="BI134" s="171"/>
      <c r="BJ134" s="171"/>
      <c r="BK134" s="171"/>
      <c r="BL134" s="171"/>
      <c r="BM134" s="171"/>
      <c r="BN134" s="171"/>
      <c r="BO134" s="151"/>
      <c r="BP134" s="151"/>
      <c r="BQ134" s="151"/>
      <c r="BR134" s="151"/>
      <c r="BS134" s="171"/>
      <c r="BT134" s="171"/>
      <c r="BU134" s="171" t="s">
        <v>54</v>
      </c>
      <c r="BV134" s="245" t="b">
        <f>IF(BW134&gt;0,"M")</f>
        <v>0</v>
      </c>
      <c r="BW134" s="245">
        <f>(BW138*BW136)</f>
        <v>-1</v>
      </c>
      <c r="BX134" s="151"/>
      <c r="BY134" s="797"/>
      <c r="BZ134" s="797"/>
      <c r="CA134" s="797"/>
      <c r="CB134" s="797"/>
      <c r="CC134" s="797"/>
      <c r="CD134" s="797"/>
      <c r="CE134" s="797"/>
      <c r="CF134" s="797"/>
      <c r="CG134" s="797"/>
      <c r="CH134" s="797"/>
      <c r="CI134" s="797"/>
      <c r="CJ134" s="797"/>
      <c r="CK134" s="797"/>
      <c r="CL134" s="797"/>
      <c r="CM134" s="797"/>
      <c r="CN134" s="797"/>
      <c r="CO134" s="797"/>
      <c r="CP134" s="797"/>
      <c r="CQ134" s="797"/>
      <c r="CR134" s="797"/>
      <c r="CS134" s="797"/>
      <c r="CT134" s="797"/>
      <c r="CU134" s="797"/>
    </row>
    <row r="135" spans="1:99" x14ac:dyDescent="0.25">
      <c r="A135" s="171"/>
      <c r="B135" s="171"/>
      <c r="C135" s="171"/>
      <c r="D135" s="171"/>
      <c r="E135" s="171"/>
      <c r="F135" s="171"/>
      <c r="G135" s="171"/>
      <c r="H135" s="171"/>
      <c r="I135" s="171"/>
      <c r="J135" s="151"/>
      <c r="K135" s="151"/>
      <c r="L135" s="151"/>
      <c r="M135" s="151"/>
      <c r="N135" s="171"/>
      <c r="O135" s="171"/>
      <c r="P135" s="171"/>
      <c r="Q135" s="245" t="str">
        <f>IF(R138+R139&lt;0,"-M")</f>
        <v>-M</v>
      </c>
      <c r="R135" s="245">
        <f>(R139*R137)</f>
        <v>-1</v>
      </c>
      <c r="S135" s="151"/>
      <c r="T135" s="171"/>
      <c r="U135" s="171"/>
      <c r="V135" s="171"/>
      <c r="W135" s="171"/>
      <c r="X135" s="171"/>
      <c r="Y135" s="171"/>
      <c r="Z135" s="171"/>
      <c r="AA135" s="171"/>
      <c r="AB135" s="171"/>
      <c r="AC135" s="151"/>
      <c r="AD135" s="151"/>
      <c r="AE135" s="151"/>
      <c r="AF135" s="151"/>
      <c r="AG135" s="171"/>
      <c r="AH135" s="171"/>
      <c r="AI135" s="171"/>
      <c r="AJ135" s="245" t="str">
        <f>IF(AK138+AK139&lt;0,"-M")</f>
        <v>-M</v>
      </c>
      <c r="AK135" s="245">
        <f>(AK139*AK137)</f>
        <v>-1</v>
      </c>
      <c r="AL135" s="151"/>
      <c r="AM135" s="171"/>
      <c r="AN135" s="171"/>
      <c r="AO135" s="171"/>
      <c r="AP135" s="171"/>
      <c r="AQ135" s="171"/>
      <c r="AR135" s="171"/>
      <c r="AS135" s="171"/>
      <c r="AT135" s="171"/>
      <c r="AU135" s="171"/>
      <c r="AV135" s="151"/>
      <c r="AW135" s="151"/>
      <c r="AX135" s="151"/>
      <c r="AY135" s="151"/>
      <c r="AZ135" s="171"/>
      <c r="BA135" s="171"/>
      <c r="BB135" s="171"/>
      <c r="BC135" s="245" t="str">
        <f>IF(BD138+BD139&lt;0,"-M")</f>
        <v>-M</v>
      </c>
      <c r="BD135" s="245">
        <f>(BD139*BD137)</f>
        <v>-1</v>
      </c>
      <c r="BE135" s="151"/>
      <c r="BF135" s="171"/>
      <c r="BG135" s="171"/>
      <c r="BH135" s="171"/>
      <c r="BI135" s="171"/>
      <c r="BJ135" s="171"/>
      <c r="BK135" s="171"/>
      <c r="BL135" s="171"/>
      <c r="BM135" s="171"/>
      <c r="BN135" s="171"/>
      <c r="BO135" s="151"/>
      <c r="BP135" s="151"/>
      <c r="BQ135" s="151"/>
      <c r="BR135" s="151"/>
      <c r="BS135" s="171"/>
      <c r="BT135" s="171"/>
      <c r="BU135" s="171"/>
      <c r="BV135" s="245" t="str">
        <f>IF(BW138+BW139&lt;0,"-M")</f>
        <v>-M</v>
      </c>
      <c r="BW135" s="245">
        <f>(BW139*BW137)</f>
        <v>-1</v>
      </c>
      <c r="BX135" s="151"/>
      <c r="BY135" s="797"/>
      <c r="BZ135" s="797"/>
      <c r="CA135" s="797"/>
      <c r="CB135" s="797"/>
      <c r="CC135" s="797"/>
      <c r="CD135" s="797"/>
      <c r="CE135" s="797"/>
      <c r="CF135" s="797"/>
      <c r="CG135" s="797"/>
      <c r="CH135" s="797"/>
      <c r="CI135" s="797"/>
      <c r="CJ135" s="797"/>
      <c r="CK135" s="797"/>
      <c r="CL135" s="797"/>
      <c r="CM135" s="797"/>
      <c r="CN135" s="797"/>
      <c r="CO135" s="797"/>
      <c r="CP135" s="797"/>
      <c r="CQ135" s="797"/>
      <c r="CR135" s="797"/>
      <c r="CS135" s="797"/>
      <c r="CT135" s="797"/>
      <c r="CU135" s="797"/>
    </row>
    <row r="136" spans="1:99" x14ac:dyDescent="0.25">
      <c r="A136" s="171"/>
      <c r="B136" s="171"/>
      <c r="C136" s="171"/>
      <c r="D136" s="171"/>
      <c r="E136" s="171"/>
      <c r="F136" s="171"/>
      <c r="G136" s="171"/>
      <c r="H136" s="171"/>
      <c r="I136" s="171"/>
      <c r="J136" s="151"/>
      <c r="K136" s="151"/>
      <c r="L136" s="151"/>
      <c r="M136" s="151"/>
      <c r="N136" s="171"/>
      <c r="O136" s="171"/>
      <c r="P136" s="171"/>
      <c r="Q136" s="245" t="b">
        <f>IF(R138+R139&gt;0,"+M")</f>
        <v>0</v>
      </c>
      <c r="R136" s="245">
        <f>(P138*O138*N138)</f>
        <v>1</v>
      </c>
      <c r="S136" s="151"/>
      <c r="T136" s="171"/>
      <c r="U136" s="171"/>
      <c r="V136" s="171"/>
      <c r="W136" s="171"/>
      <c r="X136" s="171"/>
      <c r="Y136" s="171"/>
      <c r="Z136" s="171"/>
      <c r="AA136" s="171"/>
      <c r="AB136" s="171"/>
      <c r="AC136" s="151"/>
      <c r="AD136" s="151"/>
      <c r="AE136" s="151"/>
      <c r="AF136" s="151"/>
      <c r="AG136" s="171"/>
      <c r="AH136" s="171"/>
      <c r="AI136" s="171"/>
      <c r="AJ136" s="245" t="b">
        <f>IF(AK138+AK139&gt;0,"+M")</f>
        <v>0</v>
      </c>
      <c r="AK136" s="245">
        <f>(AI138*AH138*AG138)</f>
        <v>1</v>
      </c>
      <c r="AL136" s="151"/>
      <c r="AM136" s="171"/>
      <c r="AN136" s="171"/>
      <c r="AO136" s="171"/>
      <c r="AP136" s="171"/>
      <c r="AQ136" s="171"/>
      <c r="AR136" s="171"/>
      <c r="AS136" s="171"/>
      <c r="AT136" s="171"/>
      <c r="AU136" s="171"/>
      <c r="AV136" s="151"/>
      <c r="AW136" s="151"/>
      <c r="AX136" s="151"/>
      <c r="AY136" s="151"/>
      <c r="AZ136" s="171"/>
      <c r="BA136" s="171"/>
      <c r="BB136" s="171"/>
      <c r="BC136" s="245" t="b">
        <f>IF(BD138+BD139&gt;0,"+M")</f>
        <v>0</v>
      </c>
      <c r="BD136" s="245">
        <f>(BB138*BA138*AZ138)</f>
        <v>1</v>
      </c>
      <c r="BE136" s="151"/>
      <c r="BF136" s="171"/>
      <c r="BG136" s="171"/>
      <c r="BH136" s="171"/>
      <c r="BI136" s="171"/>
      <c r="BJ136" s="171"/>
      <c r="BK136" s="171"/>
      <c r="BL136" s="171"/>
      <c r="BM136" s="171"/>
      <c r="BN136" s="171"/>
      <c r="BO136" s="151"/>
      <c r="BP136" s="151"/>
      <c r="BQ136" s="151"/>
      <c r="BR136" s="151"/>
      <c r="BS136" s="171"/>
      <c r="BT136" s="171"/>
      <c r="BU136" s="171"/>
      <c r="BV136" s="245" t="b">
        <f>IF(BW138+BW139&gt;0,"+M")</f>
        <v>0</v>
      </c>
      <c r="BW136" s="245">
        <f>(BU138*BT138*BS138)</f>
        <v>1</v>
      </c>
      <c r="BX136" s="151"/>
      <c r="BY136" s="797"/>
      <c r="BZ136" s="797"/>
      <c r="CA136" s="797"/>
      <c r="CB136" s="797"/>
      <c r="CC136" s="797"/>
      <c r="CD136" s="797"/>
      <c r="CE136" s="797"/>
      <c r="CF136" s="797"/>
      <c r="CG136" s="797"/>
      <c r="CH136" s="797"/>
      <c r="CI136" s="797"/>
      <c r="CJ136" s="797"/>
      <c r="CK136" s="797"/>
      <c r="CL136" s="797"/>
      <c r="CM136" s="797"/>
      <c r="CN136" s="797"/>
      <c r="CO136" s="797"/>
      <c r="CP136" s="797"/>
      <c r="CQ136" s="797"/>
      <c r="CR136" s="797"/>
      <c r="CS136" s="797"/>
      <c r="CT136" s="797"/>
      <c r="CU136" s="797"/>
    </row>
    <row r="137" spans="1:99" x14ac:dyDescent="0.25">
      <c r="A137" s="245"/>
      <c r="B137" s="171"/>
      <c r="C137" s="245" t="str">
        <f>IF(S139&lt;690," BS ")</f>
        <v xml:space="preserve"> BS </v>
      </c>
      <c r="D137" s="245" t="b">
        <f>IF(S139&gt;3444," MB ")</f>
        <v>0</v>
      </c>
      <c r="E137" s="428">
        <f>P171</f>
        <v>-1</v>
      </c>
      <c r="F137" s="428">
        <f>P146</f>
        <v>-1</v>
      </c>
      <c r="G137" s="429"/>
      <c r="H137" s="428">
        <f>P123</f>
        <v>1</v>
      </c>
      <c r="I137" s="171"/>
      <c r="J137" s="151"/>
      <c r="K137" s="151"/>
      <c r="L137" s="151"/>
      <c r="M137" s="151"/>
      <c r="N137" s="245" t="str">
        <f>IF((M139+M138)=0,"E")</f>
        <v>E</v>
      </c>
      <c r="O137" s="245">
        <f>IF(Q138&gt;0,-1,1)</f>
        <v>1</v>
      </c>
      <c r="P137" s="245">
        <f>IF(Q138&lt;0,1,-1)</f>
        <v>1</v>
      </c>
      <c r="Q137" s="171"/>
      <c r="R137" s="245">
        <f>(P139*O139*N139)</f>
        <v>1</v>
      </c>
      <c r="S137" s="151"/>
      <c r="T137" s="245"/>
      <c r="U137" s="171"/>
      <c r="V137" s="245" t="str">
        <f>IF(AL139&lt;690," BS ")</f>
        <v xml:space="preserve"> BS </v>
      </c>
      <c r="W137" s="245" t="b">
        <f>IF(AL139&gt;3444," MB ")</f>
        <v>0</v>
      </c>
      <c r="X137" s="428">
        <f>AI171</f>
        <v>-1</v>
      </c>
      <c r="Y137" s="428">
        <f>AI146</f>
        <v>-1</v>
      </c>
      <c r="Z137" s="429"/>
      <c r="AA137" s="428">
        <f>AI123</f>
        <v>1</v>
      </c>
      <c r="AB137" s="171"/>
      <c r="AC137" s="151"/>
      <c r="AD137" s="151"/>
      <c r="AE137" s="151"/>
      <c r="AF137" s="151"/>
      <c r="AG137" s="245" t="str">
        <f>IF((AF139+AF138)=0,"E")</f>
        <v>E</v>
      </c>
      <c r="AH137" s="245">
        <f>IF(AJ138&gt;0,-1,1)</f>
        <v>1</v>
      </c>
      <c r="AI137" s="245">
        <f>IF(AJ138&lt;0,1,-1)</f>
        <v>1</v>
      </c>
      <c r="AJ137" s="171"/>
      <c r="AK137" s="245">
        <f>(AI139*AH139*AG139)</f>
        <v>1</v>
      </c>
      <c r="AL137" s="151"/>
      <c r="AM137" s="245"/>
      <c r="AN137" s="171"/>
      <c r="AO137" s="245" t="str">
        <f>IF(BE139&lt;690," BS ")</f>
        <v xml:space="preserve"> BS </v>
      </c>
      <c r="AP137" s="245" t="b">
        <f>IF(BE139&gt;3444," MB ")</f>
        <v>0</v>
      </c>
      <c r="AQ137" s="428">
        <f>BB171</f>
        <v>-1</v>
      </c>
      <c r="AR137" s="428">
        <f>BB146</f>
        <v>-1</v>
      </c>
      <c r="AS137" s="429"/>
      <c r="AT137" s="428">
        <f>BB123</f>
        <v>1</v>
      </c>
      <c r="AU137" s="171"/>
      <c r="AV137" s="151"/>
      <c r="AW137" s="151"/>
      <c r="AX137" s="151"/>
      <c r="AY137" s="151"/>
      <c r="AZ137" s="245" t="str">
        <f>IF((AY139+AY138)=0,"E")</f>
        <v>E</v>
      </c>
      <c r="BA137" s="245">
        <f>IF(BC138&gt;0,-1,1)</f>
        <v>1</v>
      </c>
      <c r="BB137" s="245">
        <f>IF(BC138&lt;0,1,-1)</f>
        <v>1</v>
      </c>
      <c r="BC137" s="171"/>
      <c r="BD137" s="245">
        <f>(BB139*BA139*AZ139)</f>
        <v>1</v>
      </c>
      <c r="BE137" s="151"/>
      <c r="BF137" s="245"/>
      <c r="BG137" s="171"/>
      <c r="BH137" s="245" t="str">
        <f>IF(BX139&lt;690," BS ")</f>
        <v xml:space="preserve"> BS </v>
      </c>
      <c r="BI137" s="245" t="b">
        <f>IF(BX139&gt;3444," MB ")</f>
        <v>0</v>
      </c>
      <c r="BJ137" s="428">
        <f>BU171</f>
        <v>-1</v>
      </c>
      <c r="BK137" s="428">
        <f>BU146</f>
        <v>-1</v>
      </c>
      <c r="BL137" s="429"/>
      <c r="BM137" s="428">
        <f>BU123</f>
        <v>1</v>
      </c>
      <c r="BN137" s="171"/>
      <c r="BO137" s="151"/>
      <c r="BP137" s="151"/>
      <c r="BQ137" s="151"/>
      <c r="BR137" s="151"/>
      <c r="BS137" s="245" t="str">
        <f>IF((BR139+BR138)=0,"E")</f>
        <v>E</v>
      </c>
      <c r="BT137" s="245">
        <f>IF(BV138&gt;0,-1,1)</f>
        <v>1</v>
      </c>
      <c r="BU137" s="245">
        <f>IF(BV138&lt;0,1,-1)</f>
        <v>1</v>
      </c>
      <c r="BV137" s="171"/>
      <c r="BW137" s="245">
        <f>(BU139*BT139*BS139)</f>
        <v>1</v>
      </c>
      <c r="BX137" s="151"/>
      <c r="BY137" s="797"/>
      <c r="BZ137" s="797"/>
      <c r="CA137" s="797"/>
      <c r="CB137" s="797"/>
      <c r="CC137" s="797"/>
      <c r="CD137" s="797"/>
      <c r="CE137" s="797"/>
      <c r="CF137" s="797"/>
      <c r="CG137" s="797"/>
      <c r="CH137" s="797"/>
      <c r="CI137" s="797"/>
      <c r="CJ137" s="797"/>
      <c r="CK137" s="797"/>
      <c r="CL137" s="797"/>
      <c r="CM137" s="797"/>
      <c r="CN137" s="797"/>
      <c r="CO137" s="797"/>
      <c r="CP137" s="797"/>
      <c r="CQ137" s="797"/>
      <c r="CR137" s="797"/>
      <c r="CS137" s="797"/>
      <c r="CT137" s="797"/>
      <c r="CU137" s="797"/>
    </row>
    <row r="138" spans="1:99" x14ac:dyDescent="0.25">
      <c r="A138" s="171"/>
      <c r="B138" s="171"/>
      <c r="C138" s="245" t="b">
        <f>IF(S139&gt;690," AS ")</f>
        <v>0</v>
      </c>
      <c r="D138" s="171"/>
      <c r="E138" s="152">
        <f>P169</f>
        <v>1</v>
      </c>
      <c r="F138" s="152">
        <f>P144</f>
        <v>1</v>
      </c>
      <c r="G138" s="245"/>
      <c r="H138" s="152">
        <f>P121</f>
        <v>-1</v>
      </c>
      <c r="I138" s="171"/>
      <c r="J138" s="151"/>
      <c r="K138" s="151"/>
      <c r="L138" s="151"/>
      <c r="M138" s="246"/>
      <c r="N138" s="247">
        <f>O170</f>
        <v>-1</v>
      </c>
      <c r="O138" s="247">
        <f>O145</f>
        <v>-1</v>
      </c>
      <c r="P138" s="247">
        <f>(O123)</f>
        <v>1</v>
      </c>
      <c r="Q138" s="248">
        <f>(Q131+Q154+Q179)</f>
        <v>-1639.7398004870315</v>
      </c>
      <c r="R138" s="249">
        <f>(P138+O138+N138)</f>
        <v>-1</v>
      </c>
      <c r="S138" s="244">
        <f>INT(R138)+R138</f>
        <v>-2</v>
      </c>
      <c r="T138" s="171"/>
      <c r="U138" s="171"/>
      <c r="V138" s="245" t="b">
        <f>IF(AL139&gt;690," AS ")</f>
        <v>0</v>
      </c>
      <c r="W138" s="171"/>
      <c r="X138" s="152">
        <f>AI169</f>
        <v>1</v>
      </c>
      <c r="Y138" s="152">
        <f>AI144</f>
        <v>1</v>
      </c>
      <c r="Z138" s="245"/>
      <c r="AA138" s="152">
        <f>AI121</f>
        <v>-1</v>
      </c>
      <c r="AB138" s="171"/>
      <c r="AC138" s="151"/>
      <c r="AD138" s="151"/>
      <c r="AE138" s="151"/>
      <c r="AF138" s="246"/>
      <c r="AG138" s="247">
        <f>AH170</f>
        <v>-1</v>
      </c>
      <c r="AH138" s="247">
        <f>AH145</f>
        <v>-1</v>
      </c>
      <c r="AI138" s="247">
        <f>(AH123)</f>
        <v>1</v>
      </c>
      <c r="AJ138" s="248">
        <f>(AJ131+AJ154+AJ179)</f>
        <v>-952.71045169801232</v>
      </c>
      <c r="AK138" s="249">
        <f>(AI138+AH138+AG138)</f>
        <v>-1</v>
      </c>
      <c r="AL138" s="244">
        <f>INT(AK138)+AK138</f>
        <v>-2</v>
      </c>
      <c r="AM138" s="171"/>
      <c r="AN138" s="171"/>
      <c r="AO138" s="245" t="b">
        <f>IF(BE139&gt;690," AS ")</f>
        <v>0</v>
      </c>
      <c r="AP138" s="171"/>
      <c r="AQ138" s="152">
        <f>BB169</f>
        <v>1</v>
      </c>
      <c r="AR138" s="152">
        <f>BB144</f>
        <v>1</v>
      </c>
      <c r="AS138" s="245"/>
      <c r="AT138" s="152">
        <f>BB121</f>
        <v>-1</v>
      </c>
      <c r="AU138" s="171"/>
      <c r="AV138" s="151"/>
      <c r="AW138" s="151"/>
      <c r="AX138" s="151"/>
      <c r="AY138" s="246"/>
      <c r="AZ138" s="247">
        <f>BA170</f>
        <v>-1</v>
      </c>
      <c r="BA138" s="247">
        <f>BA145</f>
        <v>-1</v>
      </c>
      <c r="BB138" s="247">
        <f>(BA123)</f>
        <v>1</v>
      </c>
      <c r="BC138" s="248">
        <f>(BC131+BC154+BC179)</f>
        <v>-2104.7863592843223</v>
      </c>
      <c r="BD138" s="249">
        <f>(BB138+BA138+AZ138)</f>
        <v>-1</v>
      </c>
      <c r="BE138" s="244">
        <f>INT(BD138)+BD138</f>
        <v>-2</v>
      </c>
      <c r="BF138" s="171"/>
      <c r="BG138" s="171"/>
      <c r="BH138" s="245" t="b">
        <f>IF(BX139&gt;690," AS ")</f>
        <v>0</v>
      </c>
      <c r="BI138" s="171"/>
      <c r="BJ138" s="152">
        <f>BU169</f>
        <v>1</v>
      </c>
      <c r="BK138" s="152">
        <f>BU144</f>
        <v>1</v>
      </c>
      <c r="BL138" s="245"/>
      <c r="BM138" s="152">
        <f>BU121</f>
        <v>-1</v>
      </c>
      <c r="BN138" s="171"/>
      <c r="BO138" s="151"/>
      <c r="BP138" s="151"/>
      <c r="BQ138" s="151"/>
      <c r="BR138" s="246"/>
      <c r="BS138" s="247">
        <f>BT170</f>
        <v>-1</v>
      </c>
      <c r="BT138" s="247">
        <f>BT145</f>
        <v>-1</v>
      </c>
      <c r="BU138" s="247">
        <f>(BT123)</f>
        <v>1</v>
      </c>
      <c r="BV138" s="248">
        <f>(BV131+BV154+BV179)</f>
        <v>-1285.4071400405576</v>
      </c>
      <c r="BW138" s="249">
        <f>(BU138+BT138+BS138)</f>
        <v>-1</v>
      </c>
      <c r="BX138" s="244">
        <f>INT(BW138)+BW138</f>
        <v>-2</v>
      </c>
      <c r="BY138" s="797"/>
      <c r="BZ138" s="797"/>
      <c r="CA138" s="797"/>
      <c r="CB138" s="797"/>
      <c r="CC138" s="797"/>
      <c r="CD138" s="797"/>
      <c r="CE138" s="797"/>
      <c r="CF138" s="797"/>
      <c r="CG138" s="797"/>
      <c r="CH138" s="797"/>
      <c r="CI138" s="797"/>
      <c r="CJ138" s="797"/>
      <c r="CK138" s="797"/>
      <c r="CL138" s="797"/>
      <c r="CM138" s="797"/>
      <c r="CN138" s="797"/>
      <c r="CO138" s="797"/>
      <c r="CP138" s="797"/>
      <c r="CQ138" s="797"/>
      <c r="CR138" s="797"/>
      <c r="CS138" s="797"/>
      <c r="CT138" s="797"/>
      <c r="CU138" s="797"/>
    </row>
    <row r="139" spans="1:99" x14ac:dyDescent="0.25">
      <c r="A139" s="171"/>
      <c r="B139" s="171"/>
      <c r="C139" s="245" t="b">
        <f>IF(S139=0," F ")</f>
        <v>0</v>
      </c>
      <c r="D139" s="171"/>
      <c r="E139" s="152">
        <f>P172</f>
        <v>-1</v>
      </c>
      <c r="F139" s="152">
        <f>P147</f>
        <v>-1</v>
      </c>
      <c r="G139" s="245"/>
      <c r="H139" s="152">
        <f>P124</f>
        <v>-1</v>
      </c>
      <c r="I139" s="171"/>
      <c r="J139" s="151"/>
      <c r="K139" s="151"/>
      <c r="L139" s="151"/>
      <c r="M139" s="246"/>
      <c r="N139" s="247">
        <f>O171</f>
        <v>-1</v>
      </c>
      <c r="O139" s="247">
        <f>O146</f>
        <v>-1</v>
      </c>
      <c r="P139" s="247">
        <f>O122</f>
        <v>1</v>
      </c>
      <c r="Q139" s="245" t="b">
        <f>IF(Q138&gt;0,Q140)</f>
        <v>0</v>
      </c>
      <c r="R139" s="250">
        <f>(P139+O139+N139)</f>
        <v>-1</v>
      </c>
      <c r="S139" s="244">
        <f>(S138^8)</f>
        <v>256</v>
      </c>
      <c r="T139" s="171"/>
      <c r="U139" s="171"/>
      <c r="V139" s="245" t="b">
        <f>IF(AL139=0," F ")</f>
        <v>0</v>
      </c>
      <c r="W139" s="171"/>
      <c r="X139" s="152">
        <f>AI172</f>
        <v>-1</v>
      </c>
      <c r="Y139" s="152">
        <f>AI147</f>
        <v>-1</v>
      </c>
      <c r="Z139" s="245"/>
      <c r="AA139" s="152">
        <f>AI124</f>
        <v>-1</v>
      </c>
      <c r="AB139" s="171"/>
      <c r="AC139" s="151"/>
      <c r="AD139" s="151"/>
      <c r="AE139" s="151"/>
      <c r="AF139" s="246"/>
      <c r="AG139" s="247">
        <f>AH171</f>
        <v>-1</v>
      </c>
      <c r="AH139" s="247">
        <f>AH146</f>
        <v>-1</v>
      </c>
      <c r="AI139" s="247">
        <f>AH122</f>
        <v>1</v>
      </c>
      <c r="AJ139" s="245" t="b">
        <f>IF(AJ138&gt;0,AJ140)</f>
        <v>0</v>
      </c>
      <c r="AK139" s="250">
        <f>(AI139+AH139+AG139)</f>
        <v>-1</v>
      </c>
      <c r="AL139" s="244">
        <f>(AL138^8)</f>
        <v>256</v>
      </c>
      <c r="AM139" s="171"/>
      <c r="AN139" s="171"/>
      <c r="AO139" s="245" t="b">
        <f>IF(BE139=0," F ")</f>
        <v>0</v>
      </c>
      <c r="AP139" s="171"/>
      <c r="AQ139" s="152">
        <f>BB172</f>
        <v>-1</v>
      </c>
      <c r="AR139" s="152">
        <f>BB147</f>
        <v>-1</v>
      </c>
      <c r="AS139" s="245"/>
      <c r="AT139" s="152">
        <f>BB124</f>
        <v>-1</v>
      </c>
      <c r="AU139" s="171"/>
      <c r="AV139" s="151"/>
      <c r="AW139" s="151"/>
      <c r="AX139" s="151"/>
      <c r="AY139" s="246"/>
      <c r="AZ139" s="247">
        <f>BA171</f>
        <v>-1</v>
      </c>
      <c r="BA139" s="247">
        <f>BA146</f>
        <v>-1</v>
      </c>
      <c r="BB139" s="247">
        <f>BA122</f>
        <v>1</v>
      </c>
      <c r="BC139" s="245" t="b">
        <f>IF(BC138&gt;0,BC140)</f>
        <v>0</v>
      </c>
      <c r="BD139" s="250">
        <f>(BB139+BA139+AZ139)</f>
        <v>-1</v>
      </c>
      <c r="BE139" s="244">
        <f>(BE138^8)</f>
        <v>256</v>
      </c>
      <c r="BF139" s="171"/>
      <c r="BG139" s="171"/>
      <c r="BH139" s="245" t="b">
        <f>IF(BX139=0," F ")</f>
        <v>0</v>
      </c>
      <c r="BI139" s="171"/>
      <c r="BJ139" s="152">
        <f>BU172</f>
        <v>-1</v>
      </c>
      <c r="BK139" s="152">
        <f>BU147</f>
        <v>-1</v>
      </c>
      <c r="BL139" s="245"/>
      <c r="BM139" s="152">
        <f>BU124</f>
        <v>-1</v>
      </c>
      <c r="BN139" s="171"/>
      <c r="BO139" s="151"/>
      <c r="BP139" s="151"/>
      <c r="BQ139" s="151"/>
      <c r="BR139" s="246"/>
      <c r="BS139" s="247">
        <f>BT171</f>
        <v>-1</v>
      </c>
      <c r="BT139" s="247">
        <f>BT146</f>
        <v>-1</v>
      </c>
      <c r="BU139" s="247">
        <f>BT122</f>
        <v>1</v>
      </c>
      <c r="BV139" s="245" t="b">
        <f>IF(BV138&gt;0,BV140)</f>
        <v>0</v>
      </c>
      <c r="BW139" s="250">
        <f>(BU139+BT139+BS139)</f>
        <v>-1</v>
      </c>
      <c r="BX139" s="244">
        <f>(BX138^8)</f>
        <v>256</v>
      </c>
      <c r="BY139" s="797"/>
      <c r="BZ139" s="797"/>
      <c r="CA139" s="797"/>
      <c r="CB139" s="797"/>
      <c r="CC139" s="797"/>
      <c r="CD139" s="797"/>
      <c r="CE139" s="797"/>
      <c r="CF139" s="797"/>
      <c r="CG139" s="797"/>
      <c r="CH139" s="797"/>
      <c r="CI139" s="797"/>
      <c r="CJ139" s="797"/>
      <c r="CK139" s="797"/>
      <c r="CL139" s="797"/>
      <c r="CM139" s="797"/>
      <c r="CN139" s="797"/>
      <c r="CO139" s="797"/>
      <c r="CP139" s="797"/>
      <c r="CQ139" s="797"/>
      <c r="CR139" s="797"/>
      <c r="CS139" s="797"/>
      <c r="CT139" s="797"/>
      <c r="CU139" s="797"/>
    </row>
    <row r="140" spans="1:99" x14ac:dyDescent="0.25">
      <c r="A140" s="171"/>
      <c r="B140" s="171"/>
      <c r="C140" s="245" t="b">
        <f>IF(S139&gt;1797," UB ")</f>
        <v>0</v>
      </c>
      <c r="D140" s="171"/>
      <c r="E140" s="258">
        <f>P170</f>
        <v>1</v>
      </c>
      <c r="F140" s="258">
        <f>P145</f>
        <v>1</v>
      </c>
      <c r="G140" s="259"/>
      <c r="H140" s="258">
        <f>P122</f>
        <v>1</v>
      </c>
      <c r="I140" s="171"/>
      <c r="J140" s="151"/>
      <c r="K140" s="151"/>
      <c r="L140" s="151"/>
      <c r="M140" s="151"/>
      <c r="N140" s="171"/>
      <c r="O140" s="171"/>
      <c r="P140" s="171"/>
      <c r="Q140" s="260">
        <f>-OR118+1</f>
        <v>1</v>
      </c>
      <c r="R140" s="245"/>
      <c r="S140" s="151"/>
      <c r="T140" s="171"/>
      <c r="U140" s="171"/>
      <c r="V140" s="245" t="b">
        <f>IF(AL139&gt;1797," UB ")</f>
        <v>0</v>
      </c>
      <c r="W140" s="171"/>
      <c r="X140" s="258">
        <f>AI170</f>
        <v>1</v>
      </c>
      <c r="Y140" s="258">
        <f>AI145</f>
        <v>1</v>
      </c>
      <c r="Z140" s="259"/>
      <c r="AA140" s="258">
        <f>AI122</f>
        <v>-1</v>
      </c>
      <c r="AB140" s="171"/>
      <c r="AC140" s="151"/>
      <c r="AD140" s="151"/>
      <c r="AE140" s="151"/>
      <c r="AF140" s="151"/>
      <c r="AG140" s="171"/>
      <c r="AH140" s="171"/>
      <c r="AI140" s="171"/>
      <c r="AJ140" s="260">
        <f>-PK118+1</f>
        <v>1</v>
      </c>
      <c r="AK140" s="245"/>
      <c r="AL140" s="151"/>
      <c r="AM140" s="171"/>
      <c r="AN140" s="171"/>
      <c r="AO140" s="245" t="b">
        <f>IF(BE139&gt;1797," UB ")</f>
        <v>0</v>
      </c>
      <c r="AP140" s="171"/>
      <c r="AQ140" s="258">
        <f>BB170</f>
        <v>1</v>
      </c>
      <c r="AR140" s="258">
        <f>BB145</f>
        <v>1</v>
      </c>
      <c r="AS140" s="259"/>
      <c r="AT140" s="258">
        <f>BB122</f>
        <v>1</v>
      </c>
      <c r="AU140" s="171"/>
      <c r="AV140" s="151"/>
      <c r="AW140" s="151"/>
      <c r="AX140" s="151"/>
      <c r="AY140" s="151"/>
      <c r="AZ140" s="171"/>
      <c r="BA140" s="171"/>
      <c r="BB140" s="171"/>
      <c r="BC140" s="260">
        <f>-QD118+1</f>
        <v>1</v>
      </c>
      <c r="BD140" s="245"/>
      <c r="BE140" s="151"/>
      <c r="BF140" s="171"/>
      <c r="BG140" s="171"/>
      <c r="BH140" s="245" t="b">
        <f>IF(BX139&gt;1797," UB ")</f>
        <v>0</v>
      </c>
      <c r="BI140" s="171"/>
      <c r="BJ140" s="258">
        <f>BU170</f>
        <v>1</v>
      </c>
      <c r="BK140" s="258">
        <f>BU145</f>
        <v>1</v>
      </c>
      <c r="BL140" s="259"/>
      <c r="BM140" s="258">
        <f>BU122</f>
        <v>-1</v>
      </c>
      <c r="BN140" s="171"/>
      <c r="BO140" s="151"/>
      <c r="BP140" s="151"/>
      <c r="BQ140" s="151"/>
      <c r="BR140" s="151"/>
      <c r="BS140" s="171"/>
      <c r="BT140" s="171"/>
      <c r="BU140" s="171"/>
      <c r="BV140" s="260">
        <f>-QW118+1</f>
        <v>1</v>
      </c>
      <c r="BW140" s="245"/>
      <c r="BX140" s="151"/>
      <c r="BY140" s="797"/>
      <c r="BZ140" s="797"/>
      <c r="CA140" s="797"/>
      <c r="CB140" s="797"/>
      <c r="CC140" s="797"/>
      <c r="CD140" s="797"/>
      <c r="CE140" s="797"/>
      <c r="CF140" s="797"/>
      <c r="CG140" s="797"/>
      <c r="CH140" s="797"/>
      <c r="CI140" s="797"/>
      <c r="CJ140" s="797"/>
      <c r="CK140" s="797"/>
      <c r="CL140" s="797"/>
      <c r="CM140" s="797"/>
      <c r="CN140" s="797"/>
      <c r="CO140" s="797"/>
      <c r="CP140" s="797"/>
      <c r="CQ140" s="797"/>
      <c r="CR140" s="797"/>
      <c r="CS140" s="797"/>
      <c r="CT140" s="797"/>
      <c r="CU140" s="797"/>
    </row>
    <row r="141" spans="1:99" x14ac:dyDescent="0.25">
      <c r="A141" s="152">
        <f>P156</f>
        <v>224.47371783938846</v>
      </c>
      <c r="B141" s="154">
        <f>(A141*10^0.125)</f>
        <v>299.34051369620715</v>
      </c>
      <c r="C141" s="154">
        <f>INT(B141)</f>
        <v>299</v>
      </c>
      <c r="D141" s="154">
        <f>C141*4</f>
        <v>1196</v>
      </c>
      <c r="E141" s="154">
        <f>D141/5</f>
        <v>239.2</v>
      </c>
      <c r="F141" s="149">
        <f>E141^2</f>
        <v>57216.639999999992</v>
      </c>
      <c r="G141" s="149">
        <f>(F141^0.125)</f>
        <v>3.9326952517764404</v>
      </c>
      <c r="H141" s="149">
        <f>G141/3</f>
        <v>1.3108984172588134</v>
      </c>
      <c r="I141" s="149">
        <f>(H141*100)</f>
        <v>131.08984172588134</v>
      </c>
      <c r="J141" s="149">
        <f>(F141/100)</f>
        <v>572.16639999999995</v>
      </c>
      <c r="K141" s="149">
        <f>(J141+I141)/2</f>
        <v>351.62812086294065</v>
      </c>
      <c r="L141" s="149">
        <f>(K141+I141)/2</f>
        <v>241.358981294411</v>
      </c>
      <c r="M141" s="149">
        <f>(L141+A141)/2</f>
        <v>232.91634956689973</v>
      </c>
      <c r="N141" s="149">
        <f>M141*100^0.5</f>
        <v>2329.1634956689973</v>
      </c>
      <c r="O141" s="149">
        <f>INT(N141)/10</f>
        <v>232.9</v>
      </c>
      <c r="P141" s="149">
        <f>(O141)^2/10000</f>
        <v>5.4242410000000003</v>
      </c>
      <c r="Q141" s="149">
        <f>(P141+I141+M141)/3</f>
        <v>123.14347743092702</v>
      </c>
      <c r="R141" s="150">
        <f>Q146^0.5</f>
        <v>31.927371044724204</v>
      </c>
      <c r="S141" s="151"/>
      <c r="T141" s="152">
        <f>AI156</f>
        <v>224.44046247378259</v>
      </c>
      <c r="U141" s="154">
        <f>(T141*10^0.125)</f>
        <v>299.29616695343731</v>
      </c>
      <c r="V141" s="154">
        <f>INT(U141)</f>
        <v>299</v>
      </c>
      <c r="W141" s="154">
        <f>V141*4</f>
        <v>1196</v>
      </c>
      <c r="X141" s="154">
        <f>W141/5</f>
        <v>239.2</v>
      </c>
      <c r="Y141" s="149">
        <f>X141^2</f>
        <v>57216.639999999992</v>
      </c>
      <c r="Z141" s="149">
        <f>(Y141^0.125)</f>
        <v>3.9326952517764404</v>
      </c>
      <c r="AA141" s="149">
        <f>Z141/3</f>
        <v>1.3108984172588134</v>
      </c>
      <c r="AB141" s="149">
        <f>(AA141*100)</f>
        <v>131.08984172588134</v>
      </c>
      <c r="AC141" s="149">
        <f>(Y141/100)</f>
        <v>572.16639999999995</v>
      </c>
      <c r="AD141" s="149">
        <f>(AC141+AB141)/2</f>
        <v>351.62812086294065</v>
      </c>
      <c r="AE141" s="149">
        <f>(AD141+AB141)/2</f>
        <v>241.358981294411</v>
      </c>
      <c r="AF141" s="149">
        <f>(AE141+T141)/2</f>
        <v>232.89972188409678</v>
      </c>
      <c r="AG141" s="149">
        <f>AF141*100^0.5</f>
        <v>2328.9972188409679</v>
      </c>
      <c r="AH141" s="149">
        <f>INT(AG141)/10</f>
        <v>232.8</v>
      </c>
      <c r="AI141" s="149">
        <f>(AH141)^2/10000</f>
        <v>5.4195840000000004</v>
      </c>
      <c r="AJ141" s="149">
        <f>(AI141+AB141+AF141)/3</f>
        <v>123.13638253665937</v>
      </c>
      <c r="AK141" s="150">
        <f>AJ146^0.5</f>
        <v>31.927371044724204</v>
      </c>
      <c r="AL141" s="151"/>
      <c r="AM141" s="152">
        <f>BB156</f>
        <v>224.6262158555115</v>
      </c>
      <c r="AN141" s="154">
        <f>(AM141*10^0.125)</f>
        <v>299.54387306906966</v>
      </c>
      <c r="AO141" s="154">
        <f>INT(AN141)</f>
        <v>299</v>
      </c>
      <c r="AP141" s="154">
        <f>AO141*4</f>
        <v>1196</v>
      </c>
      <c r="AQ141" s="154">
        <f>AP141/5</f>
        <v>239.2</v>
      </c>
      <c r="AR141" s="149">
        <f>AQ141^2</f>
        <v>57216.639999999992</v>
      </c>
      <c r="AS141" s="149">
        <f>(AR141^0.125)</f>
        <v>3.9326952517764404</v>
      </c>
      <c r="AT141" s="149">
        <f>AS141/3</f>
        <v>1.3108984172588134</v>
      </c>
      <c r="AU141" s="149">
        <f>(AT141*100)</f>
        <v>131.08984172588134</v>
      </c>
      <c r="AV141" s="149">
        <f>(AR141/100)</f>
        <v>572.16639999999995</v>
      </c>
      <c r="AW141" s="149">
        <f>(AV141+AU141)/2</f>
        <v>351.62812086294065</v>
      </c>
      <c r="AX141" s="149">
        <f>(AW141+AU141)/2</f>
        <v>241.358981294411</v>
      </c>
      <c r="AY141" s="149">
        <f>(AX141+AM141)/2</f>
        <v>232.99259857496125</v>
      </c>
      <c r="AZ141" s="149">
        <f>AY141*100^0.5</f>
        <v>2329.9259857496127</v>
      </c>
      <c r="BA141" s="149">
        <f>INT(AZ141)/10</f>
        <v>232.9</v>
      </c>
      <c r="BB141" s="149">
        <f>(BA141)^2/10000</f>
        <v>5.4242410000000003</v>
      </c>
      <c r="BC141" s="149">
        <f>(BB141+AU141+AY141)/3</f>
        <v>123.16889376694753</v>
      </c>
      <c r="BD141" s="150">
        <f>BC146^0.5</f>
        <v>35.578858176638263</v>
      </c>
      <c r="BE141" s="151"/>
      <c r="BF141" s="152">
        <f>BU156</f>
        <v>224.44101167282736</v>
      </c>
      <c r="BG141" s="154">
        <f>(BF141*10^0.125)</f>
        <v>299.29689932213404</v>
      </c>
      <c r="BH141" s="154">
        <f>INT(BG141)</f>
        <v>299</v>
      </c>
      <c r="BI141" s="154">
        <f>BH141*4</f>
        <v>1196</v>
      </c>
      <c r="BJ141" s="154">
        <f>BI141/5</f>
        <v>239.2</v>
      </c>
      <c r="BK141" s="149">
        <f>BJ141^2</f>
        <v>57216.639999999992</v>
      </c>
      <c r="BL141" s="149">
        <f>(BK141^0.125)</f>
        <v>3.9326952517764404</v>
      </c>
      <c r="BM141" s="149">
        <f>BL141/3</f>
        <v>1.3108984172588134</v>
      </c>
      <c r="BN141" s="149">
        <f>(BM141*100)</f>
        <v>131.08984172588134</v>
      </c>
      <c r="BO141" s="149">
        <f>(BK141/100)</f>
        <v>572.16639999999995</v>
      </c>
      <c r="BP141" s="149">
        <f>(BO141+BN141)/2</f>
        <v>351.62812086294065</v>
      </c>
      <c r="BQ141" s="149">
        <f>(BP141+BN141)/2</f>
        <v>241.358981294411</v>
      </c>
      <c r="BR141" s="149">
        <f>(BQ141+BF141)/2</f>
        <v>232.89999648361919</v>
      </c>
      <c r="BS141" s="149">
        <f>BR141*100^0.5</f>
        <v>2328.9999648361918</v>
      </c>
      <c r="BT141" s="149">
        <f>INT(BS141)/10</f>
        <v>232.8</v>
      </c>
      <c r="BU141" s="149">
        <f>(BT141)^2/10000</f>
        <v>5.4195840000000004</v>
      </c>
      <c r="BV141" s="149">
        <f>(BU141+BN141+BR141)/3</f>
        <v>123.13647406983351</v>
      </c>
      <c r="BW141" s="150">
        <f>BV146^0.5</f>
        <v>35.578858176638263</v>
      </c>
      <c r="BX141" s="151"/>
      <c r="BY141" s="797"/>
      <c r="BZ141" s="797"/>
      <c r="CA141" s="797"/>
      <c r="CB141" s="797"/>
      <c r="CC141" s="797"/>
      <c r="CD141" s="797"/>
      <c r="CE141" s="797"/>
      <c r="CF141" s="797"/>
      <c r="CG141" s="797"/>
      <c r="CH141" s="797"/>
      <c r="CI141" s="797"/>
      <c r="CJ141" s="797"/>
      <c r="CK141" s="797"/>
      <c r="CL141" s="797"/>
      <c r="CM141" s="797"/>
      <c r="CN141" s="797"/>
      <c r="CO141" s="797"/>
      <c r="CP141" s="797"/>
      <c r="CQ141" s="797"/>
      <c r="CR141" s="797"/>
      <c r="CS141" s="797"/>
      <c r="CT141" s="797"/>
      <c r="CU141" s="797"/>
    </row>
    <row r="142" spans="1:99" x14ac:dyDescent="0.25">
      <c r="A142" s="163">
        <f>(O143-O142)</f>
        <v>3.1614283762693276</v>
      </c>
      <c r="B142" s="154">
        <f>(B143+A144)/2</f>
        <v>217.88541808515578</v>
      </c>
      <c r="C142" s="164">
        <f>(D144*C144*B144*C143*D143*A142)</f>
        <v>3514191750034.5698</v>
      </c>
      <c r="D142" s="154">
        <f>(C143*C142*A142)</f>
        <v>4486445671.8091068</v>
      </c>
      <c r="E142" s="163">
        <f>INT(A142+1)</f>
        <v>4</v>
      </c>
      <c r="F142" s="165">
        <f>(Q154*-1)</f>
        <v>57.329113704105445</v>
      </c>
      <c r="G142" s="161"/>
      <c r="H142" s="152">
        <f>IF(F142&lt;0,1,-1)</f>
        <v>-1</v>
      </c>
      <c r="I142" s="161"/>
      <c r="J142" s="161"/>
      <c r="K142" s="161"/>
      <c r="L142" s="161"/>
      <c r="M142" s="161"/>
      <c r="N142" s="161">
        <f>(M141+O141)/2</f>
        <v>232.90817478344985</v>
      </c>
      <c r="O142" s="161">
        <f>N142-A141</f>
        <v>8.4344569440613952</v>
      </c>
      <c r="P142" s="161">
        <f>(Q146+R144)/2</f>
        <v>990.17851091374678</v>
      </c>
      <c r="Q142" s="162">
        <f>(Q145*A142*100)</f>
        <v>113.75431111934444</v>
      </c>
      <c r="R142" s="150">
        <f>INT(R141)</f>
        <v>31</v>
      </c>
      <c r="S142" s="151"/>
      <c r="T142" s="163">
        <f>(AH143-AH142)</f>
        <v>3.2016238675101363</v>
      </c>
      <c r="U142" s="154">
        <f>(U143+T144)/2</f>
        <v>217.8345453390171</v>
      </c>
      <c r="V142" s="164">
        <f>(W144*V144*U144*V143*W143*T142)</f>
        <v>4023270935173.7524</v>
      </c>
      <c r="W142" s="154">
        <f>(V143*V142*T142)</f>
        <v>5053886213.4384842</v>
      </c>
      <c r="X142" s="163">
        <f>INT(T142+1)</f>
        <v>4</v>
      </c>
      <c r="Y142" s="165">
        <f>(AJ154*-1)</f>
        <v>23.54988545147431</v>
      </c>
      <c r="Z142" s="161"/>
      <c r="AA142" s="152">
        <f>IF(Y142&lt;0,1,-1)</f>
        <v>-1</v>
      </c>
      <c r="AB142" s="161"/>
      <c r="AC142" s="161"/>
      <c r="AD142" s="161"/>
      <c r="AE142" s="161"/>
      <c r="AF142" s="161"/>
      <c r="AG142" s="161">
        <f>(AF141+AH141)/2</f>
        <v>232.84986094204839</v>
      </c>
      <c r="AH142" s="161">
        <f>AG142-T141</f>
        <v>8.4093984682658061</v>
      </c>
      <c r="AI142" s="161">
        <f>(AJ146+AK144)/2</f>
        <v>990.17851091374678</v>
      </c>
      <c r="AJ142" s="162">
        <f>(AJ145*T142*100)</f>
        <v>96.968932370210979</v>
      </c>
      <c r="AK142" s="150">
        <f>INT(AK141)</f>
        <v>31</v>
      </c>
      <c r="AL142" s="151"/>
      <c r="AM142" s="163">
        <f>(BA143-BA142)</f>
        <v>3.3997065264615856</v>
      </c>
      <c r="AN142" s="154">
        <f>(AN143+AM144)/2</f>
        <v>217.91639424468076</v>
      </c>
      <c r="AO142" s="164">
        <f>(AP144*AO144*AN144*AO143*AP143*AM142)</f>
        <v>7792081191011.457</v>
      </c>
      <c r="AP142" s="154">
        <f>(AO143*AO142*AM142)</f>
        <v>9009359910.1371536</v>
      </c>
      <c r="AQ142" s="163">
        <f>INT(AM142+1)</f>
        <v>4</v>
      </c>
      <c r="AR142" s="165">
        <f>(BC154*-1)</f>
        <v>5.9241468861938227</v>
      </c>
      <c r="AS142" s="161"/>
      <c r="AT142" s="152">
        <f>IF(AR142&lt;0,1,-1)</f>
        <v>-1</v>
      </c>
      <c r="AU142" s="161"/>
      <c r="AV142" s="161"/>
      <c r="AW142" s="161"/>
      <c r="AX142" s="161"/>
      <c r="AY142" s="161"/>
      <c r="AZ142" s="161">
        <f>(AY141+BA141)/2</f>
        <v>232.94629928748063</v>
      </c>
      <c r="BA142" s="161">
        <f>AZ142-AM141</f>
        <v>8.3200834319691239</v>
      </c>
      <c r="BB142" s="161">
        <f>(BC146+BD144)/2</f>
        <v>1245.4275745766695</v>
      </c>
      <c r="BC142" s="162">
        <f>(BC145*AM142*100)</f>
        <v>33.476371250801115</v>
      </c>
      <c r="BD142" s="150">
        <f>INT(BD141)</f>
        <v>35</v>
      </c>
      <c r="BE142" s="151"/>
      <c r="BF142" s="163">
        <f>(BT143-BT142)</f>
        <v>3.2024819910175779</v>
      </c>
      <c r="BG142" s="154">
        <f>(BG143+BF144)/2</f>
        <v>217.83465689507307</v>
      </c>
      <c r="BH142" s="164">
        <f>(BI144*BH144*BG144*BH143*BI143*BF142)</f>
        <v>4035081048680.0889</v>
      </c>
      <c r="BI142" s="154">
        <f>(BH143*BH142*BF142)</f>
        <v>5066877804.3671741</v>
      </c>
      <c r="BJ142" s="163">
        <f>INT(BF142+1)</f>
        <v>4</v>
      </c>
      <c r="BK142" s="165">
        <f>(BV154*-1)</f>
        <v>29.454000001492879</v>
      </c>
      <c r="BL142" s="161"/>
      <c r="BM142" s="152">
        <f>IF(BK142&lt;0,1,-1)</f>
        <v>-1</v>
      </c>
      <c r="BN142" s="161"/>
      <c r="BO142" s="161"/>
      <c r="BP142" s="161"/>
      <c r="BQ142" s="161"/>
      <c r="BR142" s="161"/>
      <c r="BS142" s="161">
        <f>(BR141+BT141)/2</f>
        <v>232.8499982418096</v>
      </c>
      <c r="BT142" s="161">
        <f>BS142-BF141</f>
        <v>8.4089865689822432</v>
      </c>
      <c r="BU142" s="161">
        <f>(BV146+BW144)/2</f>
        <v>1245.4275745766695</v>
      </c>
      <c r="BV142" s="162">
        <f>(BV145*BF142*100)</f>
        <v>96.696250670425727</v>
      </c>
      <c r="BW142" s="150">
        <f>INT(BW141)</f>
        <v>35</v>
      </c>
      <c r="BX142" s="151"/>
      <c r="BY142" s="797"/>
      <c r="BZ142" s="797"/>
      <c r="CA142" s="797"/>
      <c r="CB142" s="797"/>
      <c r="CC142" s="797"/>
      <c r="CD142" s="797"/>
      <c r="CE142" s="797"/>
      <c r="CF142" s="797"/>
      <c r="CG142" s="797"/>
      <c r="CH142" s="797"/>
      <c r="CI142" s="797"/>
      <c r="CJ142" s="797"/>
      <c r="CK142" s="797"/>
      <c r="CL142" s="797"/>
      <c r="CM142" s="797"/>
      <c r="CN142" s="797"/>
      <c r="CO142" s="797"/>
      <c r="CP142" s="797"/>
      <c r="CQ142" s="797"/>
      <c r="CR142" s="797"/>
      <c r="CS142" s="797"/>
      <c r="CT142" s="797"/>
      <c r="CU142" s="797"/>
    </row>
    <row r="143" spans="1:99" x14ac:dyDescent="0.25">
      <c r="A143" s="163">
        <f>N142</f>
        <v>232.90817478344985</v>
      </c>
      <c r="B143" s="163">
        <f>(N142+N144)/2</f>
        <v>222.89300365125379</v>
      </c>
      <c r="C143" s="154">
        <f>(A142/D144)</f>
        <v>4.0382538064525627E-4</v>
      </c>
      <c r="D143" s="154">
        <f>(A142+B144+C144+D144)</f>
        <v>18136.882347150018</v>
      </c>
      <c r="E143" s="173">
        <f>(E142*C144)</f>
        <v>9905.27141609713</v>
      </c>
      <c r="F143" s="174"/>
      <c r="G143" s="161"/>
      <c r="H143" s="161"/>
      <c r="I143" s="161"/>
      <c r="J143" s="161"/>
      <c r="K143" s="161"/>
      <c r="L143" s="161"/>
      <c r="M143" s="161">
        <f>(N142+N144)/2</f>
        <v>222.89300365125379</v>
      </c>
      <c r="N143" s="161">
        <f>(I141+N142)/2</f>
        <v>181.9990082546656</v>
      </c>
      <c r="O143" s="161">
        <f>A141-N144</f>
        <v>11.595885320330723</v>
      </c>
      <c r="P143" s="161"/>
      <c r="Q143" s="149"/>
      <c r="R143" s="171"/>
      <c r="S143" s="151"/>
      <c r="T143" s="163">
        <f>AG142</f>
        <v>232.84986094204839</v>
      </c>
      <c r="U143" s="163">
        <f>(AG142+AG144)/2</f>
        <v>222.83965054002752</v>
      </c>
      <c r="V143" s="154">
        <f>(T142/W144)</f>
        <v>3.9235200021405203E-4</v>
      </c>
      <c r="W143" s="154">
        <f>(T142+U144+V144+W144)</f>
        <v>18872.094176935541</v>
      </c>
      <c r="X143" s="173">
        <f>(X142*V144)</f>
        <v>10194.926998760693</v>
      </c>
      <c r="Y143" s="174"/>
      <c r="Z143" s="161"/>
      <c r="AA143" s="161"/>
      <c r="AB143" s="161"/>
      <c r="AC143" s="161"/>
      <c r="AD143" s="161"/>
      <c r="AE143" s="161"/>
      <c r="AF143" s="161">
        <f>(AG142+AG144)/2</f>
        <v>222.83965054002752</v>
      </c>
      <c r="AG143" s="161">
        <f>(AB141+AG142)/2</f>
        <v>181.96985133396487</v>
      </c>
      <c r="AH143" s="161">
        <f>T141-AG144</f>
        <v>11.611022335775942</v>
      </c>
      <c r="AI143" s="161"/>
      <c r="AJ143" s="149"/>
      <c r="AK143" s="171"/>
      <c r="AL143" s="151"/>
      <c r="AM143" s="163">
        <f>AZ142</f>
        <v>232.94629928748063</v>
      </c>
      <c r="AN143" s="163">
        <f>(AZ142+AZ144)/2</f>
        <v>222.92636259228073</v>
      </c>
      <c r="AO143" s="154">
        <f>(AM142/AP144)</f>
        <v>3.4009405363421847E-4</v>
      </c>
      <c r="AP143" s="154">
        <f>(AM142+AN144+AO144+AP144)</f>
        <v>22936.50591517449</v>
      </c>
      <c r="AQ143" s="173">
        <f>(AQ142*AO144)</f>
        <v>11761.452331366318</v>
      </c>
      <c r="AR143" s="174"/>
      <c r="AS143" s="161"/>
      <c r="AT143" s="161"/>
      <c r="AU143" s="161"/>
      <c r="AV143" s="161"/>
      <c r="AW143" s="161"/>
      <c r="AX143" s="161"/>
      <c r="AY143" s="161">
        <f>(AZ142+AZ144)/2</f>
        <v>222.92636259228073</v>
      </c>
      <c r="AZ143" s="161">
        <f>(AU141+AZ142)/2</f>
        <v>182.018070506681</v>
      </c>
      <c r="BA143" s="161">
        <f>AM141-AZ144</f>
        <v>11.719789958430709</v>
      </c>
      <c r="BB143" s="161"/>
      <c r="BC143" s="149"/>
      <c r="BD143" s="171"/>
      <c r="BE143" s="151"/>
      <c r="BF143" s="163">
        <f>BS142</f>
        <v>232.8499982418096</v>
      </c>
      <c r="BG143" s="163">
        <f>(BS142+BS144)/2</f>
        <v>222.83977067731857</v>
      </c>
      <c r="BH143" s="154">
        <f>(BF142/BI144)</f>
        <v>3.9210418005176977E-4</v>
      </c>
      <c r="BI143" s="154">
        <f>(BF142+BG144+BH144+BI144)</f>
        <v>18888.397689696973</v>
      </c>
      <c r="BJ143" s="173">
        <f>(BJ142*BH144)</f>
        <v>10201.370460962384</v>
      </c>
      <c r="BK143" s="174"/>
      <c r="BL143" s="161"/>
      <c r="BM143" s="161"/>
      <c r="BN143" s="161"/>
      <c r="BO143" s="161"/>
      <c r="BP143" s="161"/>
      <c r="BQ143" s="161"/>
      <c r="BR143" s="161">
        <f>(BS142+BS144)/2</f>
        <v>222.83977067731857</v>
      </c>
      <c r="BS143" s="161">
        <f>(BN141+BS142)/2</f>
        <v>181.96991998384547</v>
      </c>
      <c r="BT143" s="161">
        <f>BF141-BS144</f>
        <v>11.611468559999821</v>
      </c>
      <c r="BU143" s="161"/>
      <c r="BV143" s="149"/>
      <c r="BW143" s="171"/>
      <c r="BX143" s="151"/>
      <c r="BY143" s="797"/>
      <c r="BZ143" s="797"/>
      <c r="CA143" s="797"/>
      <c r="CB143" s="797"/>
      <c r="CC143" s="797"/>
      <c r="CD143" s="797"/>
      <c r="CE143" s="797"/>
      <c r="CF143" s="797"/>
      <c r="CG143" s="797"/>
      <c r="CH143" s="797"/>
      <c r="CI143" s="797"/>
      <c r="CJ143" s="797"/>
      <c r="CK143" s="797"/>
      <c r="CL143" s="797"/>
      <c r="CM143" s="797"/>
      <c r="CN143" s="797"/>
      <c r="CO143" s="797"/>
      <c r="CP143" s="797"/>
      <c r="CQ143" s="797"/>
      <c r="CR143" s="797"/>
      <c r="CS143" s="797"/>
      <c r="CT143" s="797"/>
      <c r="CU143" s="797"/>
    </row>
    <row r="144" spans="1:99" x14ac:dyDescent="0.25">
      <c r="A144" s="277">
        <f>N144</f>
        <v>212.87783251905773</v>
      </c>
      <c r="B144" s="154">
        <f>G150</f>
        <v>7828.7015323747328</v>
      </c>
      <c r="C144" s="154">
        <f>(B144/A142)</f>
        <v>2476.3178540242825</v>
      </c>
      <c r="D144" s="154">
        <f>(A142*C144)</f>
        <v>7828.7015323747328</v>
      </c>
      <c r="E144" s="163">
        <f>INT(A142)+1</f>
        <v>4</v>
      </c>
      <c r="F144" s="174">
        <f>(Q154)</f>
        <v>-57.329113704105445</v>
      </c>
      <c r="G144" s="161"/>
      <c r="H144" s="152">
        <f>IF(F142&gt;0,-1,1)</f>
        <v>-1</v>
      </c>
      <c r="I144" s="161"/>
      <c r="J144" s="161"/>
      <c r="K144" s="161"/>
      <c r="L144" s="161"/>
      <c r="M144" s="161">
        <f>(N143+P141*2)</f>
        <v>192.84749025466559</v>
      </c>
      <c r="N144" s="161">
        <f>(N142+M144)/2</f>
        <v>212.87783251905773</v>
      </c>
      <c r="O144" s="161">
        <f>(N143+J141)/2</f>
        <v>377.08270412733276</v>
      </c>
      <c r="P144" s="152">
        <f>IF(Q154&gt;1,-1,1)</f>
        <v>1</v>
      </c>
      <c r="Q144" s="162">
        <f>F152-F149</f>
        <v>-2.5736919367127653</v>
      </c>
      <c r="R144" s="150">
        <f>R142^2</f>
        <v>961</v>
      </c>
      <c r="S144" s="151"/>
      <c r="T144" s="277">
        <f>AG144</f>
        <v>212.82944013800665</v>
      </c>
      <c r="U144" s="154">
        <f>Z150</f>
        <v>8160.0804016889288</v>
      </c>
      <c r="V144" s="154">
        <f>(U144/T142)</f>
        <v>2548.7317496901733</v>
      </c>
      <c r="W144" s="154">
        <f>(T142*V144)</f>
        <v>8160.0804016889288</v>
      </c>
      <c r="X144" s="163">
        <f>INT(T142)+1</f>
        <v>4</v>
      </c>
      <c r="Y144" s="174">
        <f>(AJ154)</f>
        <v>-23.54988545147431</v>
      </c>
      <c r="Z144" s="161"/>
      <c r="AA144" s="152">
        <f>IF(Y142&gt;0,-1,1)</f>
        <v>-1</v>
      </c>
      <c r="AB144" s="161"/>
      <c r="AC144" s="161"/>
      <c r="AD144" s="161"/>
      <c r="AE144" s="161"/>
      <c r="AF144" s="161">
        <f>(AG143+AI141*2)</f>
        <v>192.80901933396487</v>
      </c>
      <c r="AG144" s="161">
        <f>(AG142+AF144)/2</f>
        <v>212.82944013800665</v>
      </c>
      <c r="AH144" s="161">
        <f>(AG143+AC141)/2</f>
        <v>377.06812566698238</v>
      </c>
      <c r="AI144" s="152">
        <f>IF(AJ154&gt;1,-1,1)</f>
        <v>1</v>
      </c>
      <c r="AJ144" s="162">
        <f>Y152-Y149</f>
        <v>-2.6257315934526106</v>
      </c>
      <c r="AK144" s="150">
        <f>AK142^2</f>
        <v>961</v>
      </c>
      <c r="AL144" s="151"/>
      <c r="AM144" s="277">
        <f>AZ144</f>
        <v>212.90642589708079</v>
      </c>
      <c r="AN144" s="154">
        <f>AS150</f>
        <v>9996.3715629032249</v>
      </c>
      <c r="AO144" s="154">
        <f>(AN144/AM142)</f>
        <v>2940.3630828415794</v>
      </c>
      <c r="AP144" s="154">
        <f>(AM142*AO144)</f>
        <v>9996.3715629032249</v>
      </c>
      <c r="AQ144" s="163">
        <f>INT(AM142)+1</f>
        <v>4</v>
      </c>
      <c r="AR144" s="174">
        <f>(BC154)</f>
        <v>-5.9241468861938227</v>
      </c>
      <c r="AS144" s="161"/>
      <c r="AT144" s="152">
        <f>IF(AR142&gt;0,-1,1)</f>
        <v>-1</v>
      </c>
      <c r="AU144" s="161"/>
      <c r="AV144" s="161"/>
      <c r="AW144" s="161"/>
      <c r="AX144" s="161"/>
      <c r="AY144" s="161">
        <f>(AZ143+BB141*2)</f>
        <v>192.86655250668099</v>
      </c>
      <c r="AZ144" s="161">
        <f>(AZ142+AY144)/2</f>
        <v>212.90642589708079</v>
      </c>
      <c r="BA144" s="161">
        <f>(AZ143+AV141)/2</f>
        <v>377.0922352533405</v>
      </c>
      <c r="BB144" s="152">
        <f>IF(BC154&gt;1,-1,1)</f>
        <v>1</v>
      </c>
      <c r="BC144" s="162">
        <f>AR152-AR149</f>
        <v>-2.8562758421284586</v>
      </c>
      <c r="BD144" s="150">
        <f>BD142^2</f>
        <v>1225</v>
      </c>
      <c r="BE144" s="151"/>
      <c r="BF144" s="277">
        <f>BS144</f>
        <v>212.82954311282754</v>
      </c>
      <c r="BG144" s="154">
        <f>BL150</f>
        <v>8167.4262962326802</v>
      </c>
      <c r="BH144" s="154">
        <f>(BG144/BF142)</f>
        <v>2550.3426152405959</v>
      </c>
      <c r="BI144" s="154">
        <f>(BF142*BH144)</f>
        <v>8167.4262962326802</v>
      </c>
      <c r="BJ144" s="163">
        <f>INT(BF142)+1</f>
        <v>4</v>
      </c>
      <c r="BK144" s="174">
        <f>(BV154)</f>
        <v>-29.454000001492879</v>
      </c>
      <c r="BL144" s="161"/>
      <c r="BM144" s="152">
        <f>IF(BK142&gt;0,-1,1)</f>
        <v>-1</v>
      </c>
      <c r="BN144" s="161"/>
      <c r="BO144" s="161"/>
      <c r="BP144" s="161"/>
      <c r="BQ144" s="161"/>
      <c r="BR144" s="161">
        <f>(BS143+BU141*2)</f>
        <v>192.80908798384547</v>
      </c>
      <c r="BS144" s="161">
        <f>(BS142+BR144)/2</f>
        <v>212.82954311282754</v>
      </c>
      <c r="BT144" s="161">
        <f>(BS143+BO141)/2</f>
        <v>377.0681599919227</v>
      </c>
      <c r="BU144" s="152">
        <f>IF(BV154&gt;1,-1,1)</f>
        <v>1</v>
      </c>
      <c r="BV144" s="162">
        <f>BK152-BK149</f>
        <v>-2.6267447321988389</v>
      </c>
      <c r="BW144" s="150">
        <f>BW142^2</f>
        <v>1225</v>
      </c>
      <c r="BX144" s="151"/>
      <c r="BY144" s="797"/>
      <c r="BZ144" s="797"/>
      <c r="CA144" s="797"/>
      <c r="CB144" s="797"/>
      <c r="CC144" s="797"/>
      <c r="CD144" s="797"/>
      <c r="CE144" s="797"/>
      <c r="CF144" s="797"/>
      <c r="CG144" s="797"/>
      <c r="CH144" s="797"/>
      <c r="CI144" s="797"/>
      <c r="CJ144" s="797"/>
      <c r="CK144" s="797"/>
      <c r="CL144" s="797"/>
      <c r="CM144" s="797"/>
      <c r="CN144" s="797"/>
      <c r="CO144" s="797"/>
      <c r="CP144" s="797"/>
      <c r="CQ144" s="797"/>
      <c r="CR144" s="797"/>
      <c r="CS144" s="797"/>
      <c r="CT144" s="797"/>
      <c r="CU144" s="797"/>
    </row>
    <row r="145" spans="1:99" x14ac:dyDescent="0.25">
      <c r="A145" s="277">
        <f>(O143+O142)+A141</f>
        <v>244.50406010378057</v>
      </c>
      <c r="B145" s="154">
        <f>(A143+B143)/2</f>
        <v>227.90058921735181</v>
      </c>
      <c r="C145" s="163">
        <f>(C143)</f>
        <v>4.0382538064525627E-4</v>
      </c>
      <c r="D145" s="154">
        <f>(D142*D143*D144*B144*A142)</f>
        <v>1.5766230366849866E+22</v>
      </c>
      <c r="E145" s="154">
        <f>(C145*A142)</f>
        <v>1.2766650174296757E-3</v>
      </c>
      <c r="F145" s="161">
        <f>(F147/O147)*O148-F148</f>
        <v>-52.282839519456097</v>
      </c>
      <c r="G145" s="161"/>
      <c r="H145" s="161"/>
      <c r="I145" s="161"/>
      <c r="J145" s="161"/>
      <c r="K145" s="161"/>
      <c r="L145" s="161"/>
      <c r="M145" s="161"/>
      <c r="N145" s="154">
        <f>(F145+Q154)*F148</f>
        <v>-6283.9561296826469</v>
      </c>
      <c r="O145" s="152">
        <f>H144</f>
        <v>-1</v>
      </c>
      <c r="P145" s="152">
        <f>IF(Q154&lt;100,1,-1)</f>
        <v>1</v>
      </c>
      <c r="Q145" s="162">
        <f>Q144+F152</f>
        <v>0.35981935245859109</v>
      </c>
      <c r="R145" s="171"/>
      <c r="S145" s="151"/>
      <c r="T145" s="277">
        <f>(AH143+AH142)+T141</f>
        <v>244.46088327782434</v>
      </c>
      <c r="U145" s="154">
        <f>(T143+U143)/2</f>
        <v>227.84475574103794</v>
      </c>
      <c r="V145" s="163">
        <f>(V143)</f>
        <v>3.9235200021405203E-4</v>
      </c>
      <c r="W145" s="154">
        <f>(W142*W143*W144*U144*T142)</f>
        <v>2.0333153512202386E+22</v>
      </c>
      <c r="X145" s="154">
        <f>(V145*T142)</f>
        <v>1.256163528350651E-3</v>
      </c>
      <c r="Y145" s="161">
        <f>(Y147/AH147)*AH148-Y148</f>
        <v>-20.602622931312389</v>
      </c>
      <c r="Z145" s="161"/>
      <c r="AA145" s="161"/>
      <c r="AB145" s="161"/>
      <c r="AC145" s="161"/>
      <c r="AD145" s="161"/>
      <c r="AE145" s="161"/>
      <c r="AF145" s="161"/>
      <c r="AG145" s="154">
        <f>(Y145+AJ154)*Y148</f>
        <v>-1039.7865148098861</v>
      </c>
      <c r="AH145" s="152">
        <f>AA144</f>
        <v>-1</v>
      </c>
      <c r="AI145" s="152">
        <f>IF(AJ154&lt;100,1,-1)</f>
        <v>1</v>
      </c>
      <c r="AJ145" s="162">
        <f>AJ144+Y152</f>
        <v>0.30287421753143828</v>
      </c>
      <c r="AK145" s="171"/>
      <c r="AL145" s="151"/>
      <c r="AM145" s="277">
        <f>(BA143+BA142)+AM141</f>
        <v>244.66608924591134</v>
      </c>
      <c r="AN145" s="154">
        <f>(AM143+AN143)/2</f>
        <v>227.93633093988069</v>
      </c>
      <c r="AO145" s="163">
        <f>(AO143)</f>
        <v>3.4009405363421847E-4</v>
      </c>
      <c r="AP145" s="154">
        <f>(AP142*AP143*AP144*AN144*AM142)</f>
        <v>7.0201663898832379E+22</v>
      </c>
      <c r="AQ145" s="154">
        <f>(AO145*AM142)</f>
        <v>1.156219973751029E-3</v>
      </c>
      <c r="AR145" s="161">
        <f>(AR147/BA147)*BA148-AR148</f>
        <v>1.6713009906531218</v>
      </c>
      <c r="AS145" s="161"/>
      <c r="AT145" s="161"/>
      <c r="AU145" s="161"/>
      <c r="AV145" s="161"/>
      <c r="AW145" s="161"/>
      <c r="AX145" s="161"/>
      <c r="AY145" s="161"/>
      <c r="AZ145" s="154">
        <f>(AR145+BC154)*AR148</f>
        <v>-25.194483769529622</v>
      </c>
      <c r="BA145" s="152">
        <f>AT144</f>
        <v>-1</v>
      </c>
      <c r="BB145" s="152">
        <f>IF(BC154&lt;100,1,-1)</f>
        <v>1</v>
      </c>
      <c r="BC145" s="162">
        <f>BC144+AR152</f>
        <v>9.8468414818273509E-2</v>
      </c>
      <c r="BD145" s="171"/>
      <c r="BE145" s="151"/>
      <c r="BF145" s="277">
        <f>(BT143+BT142)+BF141</f>
        <v>244.46146680180942</v>
      </c>
      <c r="BG145" s="154">
        <f>(BF143+BG143)/2</f>
        <v>227.84488445956407</v>
      </c>
      <c r="BH145" s="163">
        <f>(BH143)</f>
        <v>3.9210418005176977E-4</v>
      </c>
      <c r="BI145" s="154">
        <f>(BI142*BI143*BI144*BG144*BF142)</f>
        <v>2.0445262604379762E+22</v>
      </c>
      <c r="BJ145" s="154">
        <f>(BH145*BF142)</f>
        <v>1.2557065752185066E-3</v>
      </c>
      <c r="BK145" s="161">
        <f>(BK147/BT147)*BT148-BK148</f>
        <v>-25.744655139469593</v>
      </c>
      <c r="BL145" s="161"/>
      <c r="BM145" s="161"/>
      <c r="BN145" s="161"/>
      <c r="BO145" s="161"/>
      <c r="BP145" s="161"/>
      <c r="BQ145" s="161"/>
      <c r="BR145" s="161"/>
      <c r="BS145" s="154">
        <f>(BK145+BV154)*BK148</f>
        <v>-1625.8211886043136</v>
      </c>
      <c r="BT145" s="152">
        <f>BM144</f>
        <v>-1</v>
      </c>
      <c r="BU145" s="152">
        <f>IF(BV154&lt;100,1,-1)</f>
        <v>1</v>
      </c>
      <c r="BV145" s="162">
        <f>BV144+BK152</f>
        <v>0.30194159074630988</v>
      </c>
      <c r="BW145" s="171"/>
      <c r="BX145" s="151"/>
      <c r="BY145" s="797"/>
      <c r="BZ145" s="797"/>
      <c r="CA145" s="797"/>
      <c r="CB145" s="797"/>
      <c r="CC145" s="797"/>
      <c r="CD145" s="797"/>
      <c r="CE145" s="797"/>
      <c r="CF145" s="797"/>
      <c r="CG145" s="797"/>
      <c r="CH145" s="797"/>
      <c r="CI145" s="797"/>
      <c r="CJ145" s="797"/>
      <c r="CK145" s="797"/>
      <c r="CL145" s="797"/>
      <c r="CM145" s="797"/>
      <c r="CN145" s="797"/>
      <c r="CO145" s="797"/>
      <c r="CP145" s="797"/>
      <c r="CQ145" s="797"/>
      <c r="CR145" s="797"/>
      <c r="CS145" s="797"/>
      <c r="CT145" s="797"/>
      <c r="CU145" s="797"/>
    </row>
    <row r="146" spans="1:99" x14ac:dyDescent="0.25">
      <c r="A146" s="277">
        <f>(O143*-1-O142)+A141</f>
        <v>204.44337557499634</v>
      </c>
      <c r="B146" s="154">
        <f>(B143+B142)/2</f>
        <v>220.38921086820477</v>
      </c>
      <c r="C146" s="154">
        <f>(B142+A144)/2</f>
        <v>215.38162530210676</v>
      </c>
      <c r="D146" s="154">
        <f>D142</f>
        <v>4486445671.8091068</v>
      </c>
      <c r="E146" s="154">
        <f>(B143+A141)/2</f>
        <v>223.68336074532112</v>
      </c>
      <c r="F146" s="161">
        <f>(F148/O148)</f>
        <v>14.456379213383654</v>
      </c>
      <c r="G146" s="161"/>
      <c r="H146" s="161"/>
      <c r="I146" s="161"/>
      <c r="J146" s="161"/>
      <c r="K146" s="161"/>
      <c r="L146" s="161"/>
      <c r="M146" s="161"/>
      <c r="N146" s="161"/>
      <c r="O146" s="152">
        <f>H142</f>
        <v>-1</v>
      </c>
      <c r="P146" s="152">
        <f>IF(Q154&lt;0,-1,1)</f>
        <v>-1</v>
      </c>
      <c r="Q146" s="174">
        <f>Q123</f>
        <v>1019.3570218274934</v>
      </c>
      <c r="R146" s="171"/>
      <c r="S146" s="151"/>
      <c r="T146" s="277">
        <f>(AH143*-1-AH142)+T141</f>
        <v>204.42004166974084</v>
      </c>
      <c r="U146" s="154">
        <f>(U143+U142)/2</f>
        <v>220.33709793952232</v>
      </c>
      <c r="V146" s="154">
        <f>(U142+T144)/2</f>
        <v>215.33199273851187</v>
      </c>
      <c r="W146" s="154">
        <f>W142</f>
        <v>5053886213.4384842</v>
      </c>
      <c r="X146" s="154">
        <f>(U143+T141)/2</f>
        <v>223.64005650690507</v>
      </c>
      <c r="Y146" s="161">
        <f>(Y148/AH148)</f>
        <v>10.479423941027616</v>
      </c>
      <c r="Z146" s="161"/>
      <c r="AA146" s="161"/>
      <c r="AB146" s="161"/>
      <c r="AC146" s="161"/>
      <c r="AD146" s="161"/>
      <c r="AE146" s="161"/>
      <c r="AF146" s="161"/>
      <c r="AG146" s="161"/>
      <c r="AH146" s="152">
        <f>AA142</f>
        <v>-1</v>
      </c>
      <c r="AI146" s="152">
        <f>IF(AJ154&lt;0,-1,1)</f>
        <v>-1</v>
      </c>
      <c r="AJ146" s="174">
        <f>AJ123</f>
        <v>1019.3570218274934</v>
      </c>
      <c r="AK146" s="171"/>
      <c r="AL146" s="151"/>
      <c r="AM146" s="277">
        <f>(BA143*-1-BA142)+AM141</f>
        <v>204.58634246511167</v>
      </c>
      <c r="AN146" s="154">
        <f>(AN143+AN142)/2</f>
        <v>220.42137841848074</v>
      </c>
      <c r="AO146" s="154">
        <f>(AN142+AM144)/2</f>
        <v>215.41141007088078</v>
      </c>
      <c r="AP146" s="154">
        <f>AP142</f>
        <v>9009359910.1371536</v>
      </c>
      <c r="AQ146" s="154">
        <f>(AN143+AM141)/2</f>
        <v>223.77628922389613</v>
      </c>
      <c r="AR146" s="161">
        <f>(AR148/BA148)</f>
        <v>1.1876998101399106</v>
      </c>
      <c r="AS146" s="161"/>
      <c r="AT146" s="161"/>
      <c r="AU146" s="161"/>
      <c r="AV146" s="161"/>
      <c r="AW146" s="161"/>
      <c r="AX146" s="161"/>
      <c r="AY146" s="161"/>
      <c r="AZ146" s="161"/>
      <c r="BA146" s="152">
        <f>AT142</f>
        <v>-1</v>
      </c>
      <c r="BB146" s="152">
        <f>IF(BC154&lt;0,-1,1)</f>
        <v>-1</v>
      </c>
      <c r="BC146" s="174">
        <f>BC123</f>
        <v>1265.8551491533392</v>
      </c>
      <c r="BD146" s="171"/>
      <c r="BE146" s="151"/>
      <c r="BF146" s="277">
        <f>(BT143*-1-BT142)+BF141</f>
        <v>204.42055654384529</v>
      </c>
      <c r="BG146" s="154">
        <f>(BG143+BG142)/2</f>
        <v>220.33721378619583</v>
      </c>
      <c r="BH146" s="154">
        <f>(BG142+BF144)/2</f>
        <v>215.3321000039503</v>
      </c>
      <c r="BI146" s="154">
        <f>BI142</f>
        <v>5066877804.3671741</v>
      </c>
      <c r="BJ146" s="154">
        <f>(BG143+BF141)/2</f>
        <v>223.64039117507298</v>
      </c>
      <c r="BK146" s="161">
        <f>(BK148/BT148)</f>
        <v>10.420801695367878</v>
      </c>
      <c r="BL146" s="161"/>
      <c r="BM146" s="161"/>
      <c r="BN146" s="161"/>
      <c r="BO146" s="161"/>
      <c r="BP146" s="161"/>
      <c r="BQ146" s="161"/>
      <c r="BR146" s="161"/>
      <c r="BS146" s="161"/>
      <c r="BT146" s="152">
        <f>BM142</f>
        <v>-1</v>
      </c>
      <c r="BU146" s="152">
        <f>IF(BV154&lt;0,-1,1)</f>
        <v>-1</v>
      </c>
      <c r="BV146" s="174">
        <f>BV123</f>
        <v>1265.8551491533392</v>
      </c>
      <c r="BW146" s="171"/>
      <c r="BX146" s="151"/>
      <c r="BY146" s="797"/>
      <c r="BZ146" s="797"/>
      <c r="CA146" s="797"/>
      <c r="CB146" s="797"/>
      <c r="CC146" s="797"/>
      <c r="CD146" s="797"/>
      <c r="CE146" s="797"/>
      <c r="CF146" s="797"/>
      <c r="CG146" s="797"/>
      <c r="CH146" s="797"/>
      <c r="CI146" s="797"/>
      <c r="CJ146" s="797"/>
      <c r="CK146" s="797"/>
      <c r="CL146" s="797"/>
      <c r="CM146" s="797"/>
      <c r="CN146" s="797"/>
      <c r="CO146" s="797"/>
      <c r="CP146" s="797"/>
      <c r="CQ146" s="797"/>
      <c r="CR146" s="797"/>
      <c r="CS146" s="797"/>
      <c r="CT146" s="797"/>
      <c r="CU146" s="797"/>
    </row>
    <row r="147" spans="1:99" x14ac:dyDescent="0.25">
      <c r="A147" s="163">
        <f>(A146-A145)+A141-A143</f>
        <v>-48.495141472845631</v>
      </c>
      <c r="B147" s="163">
        <f>(A147*-1)+A148</f>
        <v>20.030342264392118</v>
      </c>
      <c r="C147" s="163">
        <f>(B147/2)+A142</f>
        <v>13.176599508465387</v>
      </c>
      <c r="D147" s="163">
        <f>(C155+C148+B154+B147+A142)*-1</f>
        <v>7.5898168674522992</v>
      </c>
      <c r="E147" s="163">
        <f>(C147*A142)*D147</f>
        <v>316.16805698922815</v>
      </c>
      <c r="F147" s="152">
        <f>(E147*A142)</f>
        <v>999.54266703568373</v>
      </c>
      <c r="G147" s="152">
        <f>(F147+E147)</f>
        <v>1315.710724024912</v>
      </c>
      <c r="H147" s="161"/>
      <c r="I147" s="161"/>
      <c r="J147" s="161"/>
      <c r="K147" s="161"/>
      <c r="L147" s="161"/>
      <c r="M147" s="161"/>
      <c r="N147" s="161"/>
      <c r="O147" s="161">
        <v>785.5</v>
      </c>
      <c r="P147" s="152">
        <f>IF(N145&gt;-1,1,-1)</f>
        <v>-1</v>
      </c>
      <c r="Q147" s="149">
        <f>Q124</f>
        <v>0.9</v>
      </c>
      <c r="R147" s="171"/>
      <c r="S147" s="151"/>
      <c r="T147" s="163">
        <f>(T146-T145)+T141-T143</f>
        <v>-48.450240076349303</v>
      </c>
      <c r="U147" s="163">
        <f>(T147*-1)+T148</f>
        <v>20.020420804041748</v>
      </c>
      <c r="V147" s="163">
        <f>(U147/2)+T142</f>
        <v>13.21183426953101</v>
      </c>
      <c r="W147" s="163">
        <f>(V155+V148+U154+U147+T142)*-1</f>
        <v>7.6069381749675955</v>
      </c>
      <c r="X147" s="163">
        <f>(V147*T142)*W147</f>
        <v>321.76834198542684</v>
      </c>
      <c r="Y147" s="152">
        <f>(X147*T142)</f>
        <v>1030.1812035097064</v>
      </c>
      <c r="Z147" s="152">
        <f>(Y147+X147)</f>
        <v>1351.9495454951332</v>
      </c>
      <c r="AA147" s="161"/>
      <c r="AB147" s="161"/>
      <c r="AC147" s="161"/>
      <c r="AD147" s="161"/>
      <c r="AE147" s="161"/>
      <c r="AF147" s="161"/>
      <c r="AG147" s="161"/>
      <c r="AH147" s="161">
        <v>785.5</v>
      </c>
      <c r="AI147" s="152">
        <f>IF(AG145&gt;-1,1,-1)</f>
        <v>-1</v>
      </c>
      <c r="AJ147" s="149">
        <f>AJ124</f>
        <v>0.51</v>
      </c>
      <c r="AK147" s="171"/>
      <c r="AL147" s="151"/>
      <c r="AM147" s="163">
        <f>(AM146-AM145)+AM141-AM143</f>
        <v>-48.399830212768791</v>
      </c>
      <c r="AN147" s="163">
        <f>(AM147*-1)+AM148</f>
        <v>20.039873390399833</v>
      </c>
      <c r="AO147" s="163">
        <f>(AN147/2)+AM142</f>
        <v>13.419643221661502</v>
      </c>
      <c r="AP147" s="163">
        <f>(AO155+AO148+AN154+AN147+AM142)*-1</f>
        <v>7.7118152803507414</v>
      </c>
      <c r="AQ147" s="163">
        <f>(AO147*AM142)*AP147</f>
        <v>351.83498130183011</v>
      </c>
      <c r="AR147" s="152">
        <f>(AQ147*AM142)</f>
        <v>1196.1356821693219</v>
      </c>
      <c r="AS147" s="152">
        <f>(AR147+AQ147)</f>
        <v>1547.970663471152</v>
      </c>
      <c r="AT147" s="161"/>
      <c r="AU147" s="161"/>
      <c r="AV147" s="161"/>
      <c r="AW147" s="161"/>
      <c r="AX147" s="161"/>
      <c r="AY147" s="161"/>
      <c r="AZ147" s="161"/>
      <c r="BA147" s="161">
        <v>785.5</v>
      </c>
      <c r="BB147" s="152">
        <f>IF(AZ145&gt;-1,1,-1)</f>
        <v>-1</v>
      </c>
      <c r="BC147" s="149">
        <f>BC124</f>
        <v>0.9</v>
      </c>
      <c r="BD147" s="171"/>
      <c r="BE147" s="151"/>
      <c r="BF147" s="163">
        <f>(BF146-BF145)+BF141-BF143</f>
        <v>-48.449896826946372</v>
      </c>
      <c r="BG147" s="163">
        <f>(BF147*-1)+BF148</f>
        <v>20.020455128982064</v>
      </c>
      <c r="BH147" s="163">
        <f>(BG147/2)+BF142</f>
        <v>13.21270955550861</v>
      </c>
      <c r="BI147" s="163">
        <f>(BH155+BH148+BG154+BG147+BF142)*-1</f>
        <v>7.6073775342034082</v>
      </c>
      <c r="BJ147" s="163">
        <f>(BH147*BF142)*BI147</f>
        <v>321.89449850177829</v>
      </c>
      <c r="BK147" s="152">
        <f>(BJ147*BF142)</f>
        <v>1030.8613344595797</v>
      </c>
      <c r="BL147" s="152">
        <f>(BK147+BJ147)</f>
        <v>1352.755832961358</v>
      </c>
      <c r="BM147" s="161"/>
      <c r="BN147" s="161"/>
      <c r="BO147" s="161"/>
      <c r="BP147" s="161"/>
      <c r="BQ147" s="161"/>
      <c r="BR147" s="161"/>
      <c r="BS147" s="161"/>
      <c r="BT147" s="161">
        <v>785.5</v>
      </c>
      <c r="BU147" s="152">
        <f>IF(BS145&gt;-1,1,-1)</f>
        <v>-1</v>
      </c>
      <c r="BV147" s="149">
        <f>BV124</f>
        <v>0.51</v>
      </c>
      <c r="BW147" s="171"/>
      <c r="BX147" s="151"/>
      <c r="BY147" s="797"/>
      <c r="BZ147" s="797"/>
      <c r="CA147" s="797"/>
      <c r="CB147" s="797"/>
      <c r="CC147" s="797"/>
      <c r="CD147" s="797"/>
      <c r="CE147" s="797"/>
      <c r="CF147" s="797"/>
      <c r="CG147" s="797"/>
      <c r="CH147" s="797"/>
      <c r="CI147" s="797"/>
      <c r="CJ147" s="797"/>
      <c r="CK147" s="797"/>
      <c r="CL147" s="797"/>
      <c r="CM147" s="797"/>
      <c r="CN147" s="797"/>
      <c r="CO147" s="797"/>
      <c r="CP147" s="797"/>
      <c r="CQ147" s="797"/>
      <c r="CR147" s="797"/>
      <c r="CS147" s="797"/>
      <c r="CT147" s="797"/>
      <c r="CU147" s="797"/>
    </row>
    <row r="148" spans="1:99" x14ac:dyDescent="0.25">
      <c r="A148" s="163">
        <f>(A146-A145)+A141-A144</f>
        <v>-28.464799208453513</v>
      </c>
      <c r="B148" s="163">
        <f>A149+(A148*-1)+A147</f>
        <v>-96.990282945691263</v>
      </c>
      <c r="C148" s="154">
        <f>(B148/10)</f>
        <v>-9.6990282945691266</v>
      </c>
      <c r="D148" s="154"/>
      <c r="E148" s="154"/>
      <c r="F148" s="161">
        <f>(Q154*-1)</f>
        <v>57.329113704105445</v>
      </c>
      <c r="G148" s="161"/>
      <c r="H148" s="161"/>
      <c r="I148" s="161"/>
      <c r="J148" s="161"/>
      <c r="K148" s="161"/>
      <c r="L148" s="161"/>
      <c r="M148" s="161"/>
      <c r="N148" s="161"/>
      <c r="O148" s="161">
        <f>(H156/1000)*8.9</f>
        <v>3.965662</v>
      </c>
      <c r="P148" s="152">
        <f>(P150+O152)/2</f>
        <v>966.63904274713411</v>
      </c>
      <c r="Q148" s="149">
        <f>H156/(Q155*1000)</f>
        <v>0.11223677581863979</v>
      </c>
      <c r="R148" s="171"/>
      <c r="S148" s="151"/>
      <c r="T148" s="163">
        <f>(T146-T145)+T141-T144</f>
        <v>-28.429819272307554</v>
      </c>
      <c r="U148" s="163">
        <f>T149+(T148*-1)+T147</f>
        <v>-96.900480152698606</v>
      </c>
      <c r="V148" s="154">
        <f>(U148/10)</f>
        <v>-9.6900480152698609</v>
      </c>
      <c r="W148" s="154"/>
      <c r="X148" s="154"/>
      <c r="Y148" s="161">
        <f>(AJ154*-1)</f>
        <v>23.54988545147431</v>
      </c>
      <c r="Z148" s="161"/>
      <c r="AA148" s="161"/>
      <c r="AB148" s="161"/>
      <c r="AC148" s="161"/>
      <c r="AD148" s="161"/>
      <c r="AE148" s="161"/>
      <c r="AF148" s="161"/>
      <c r="AG148" s="161"/>
      <c r="AH148" s="161">
        <f>(AA156/1000)*8.9</f>
        <v>2.2472500000000002</v>
      </c>
      <c r="AI148" s="152">
        <f>(AI150+AH152)/2</f>
        <v>966.5550954673663</v>
      </c>
      <c r="AJ148" s="149">
        <f>AA156/(AJ155*1000)</f>
        <v>0.11222222222222222</v>
      </c>
      <c r="AK148" s="171"/>
      <c r="AL148" s="151"/>
      <c r="AM148" s="163">
        <f>(AM146-AM145)+AM141-AM144</f>
        <v>-28.359956822368957</v>
      </c>
      <c r="AN148" s="163">
        <f>AM149+(AM148*-1)+AM147</f>
        <v>-96.799660425537581</v>
      </c>
      <c r="AO148" s="154">
        <f>(AN148/10)</f>
        <v>-9.6799660425537581</v>
      </c>
      <c r="AP148" s="154"/>
      <c r="AQ148" s="154"/>
      <c r="AR148" s="161">
        <f>(BC154*-1)</f>
        <v>5.9241468861938227</v>
      </c>
      <c r="AS148" s="161"/>
      <c r="AT148" s="161"/>
      <c r="AU148" s="161"/>
      <c r="AV148" s="161"/>
      <c r="AW148" s="161"/>
      <c r="AX148" s="161"/>
      <c r="AY148" s="161"/>
      <c r="AZ148" s="161"/>
      <c r="BA148" s="161">
        <f>(AT156/1000)*8.9</f>
        <v>4.9879160000000002</v>
      </c>
      <c r="BB148" s="152">
        <f>(BB150+BA152)/2</f>
        <v>1215.1697142162088</v>
      </c>
      <c r="BC148" s="149">
        <f>AT156/(BC155*1000)</f>
        <v>0.11231262525050101</v>
      </c>
      <c r="BD148" s="171"/>
      <c r="BE148" s="151"/>
      <c r="BF148" s="163">
        <f>(BF146-BF145)+BF141-BF144</f>
        <v>-28.429441697964307</v>
      </c>
      <c r="BG148" s="163">
        <f>BF149+(BF148*-1)+BF147</f>
        <v>-96.899793653892743</v>
      </c>
      <c r="BH148" s="154">
        <f>(BG148/10)</f>
        <v>-9.6899793653892736</v>
      </c>
      <c r="BI148" s="154"/>
      <c r="BJ148" s="154"/>
      <c r="BK148" s="161">
        <f>(BV154*-1)</f>
        <v>29.454000001492879</v>
      </c>
      <c r="BL148" s="161"/>
      <c r="BM148" s="161"/>
      <c r="BN148" s="161"/>
      <c r="BO148" s="161"/>
      <c r="BP148" s="161"/>
      <c r="BQ148" s="161"/>
      <c r="BR148" s="161"/>
      <c r="BS148" s="161"/>
      <c r="BT148" s="161">
        <f>(BM156/1000)*8.9</f>
        <v>2.8264619999999998</v>
      </c>
      <c r="BU148" s="152">
        <f>(BU150+BT152)/2</f>
        <v>1215.7121510078341</v>
      </c>
      <c r="BV148" s="149">
        <f>BM156/(BV155*1000)</f>
        <v>0.1122190812720848</v>
      </c>
      <c r="BW148" s="171"/>
      <c r="BX148" s="151"/>
      <c r="BY148" s="797"/>
      <c r="BZ148" s="797"/>
      <c r="CA148" s="797"/>
      <c r="CB148" s="797"/>
      <c r="CC148" s="797"/>
      <c r="CD148" s="797"/>
      <c r="CE148" s="797"/>
      <c r="CF148" s="797"/>
      <c r="CG148" s="797"/>
      <c r="CH148" s="797"/>
      <c r="CI148" s="797"/>
      <c r="CJ148" s="797"/>
      <c r="CK148" s="797"/>
      <c r="CL148" s="797"/>
      <c r="CM148" s="797"/>
      <c r="CN148" s="797"/>
      <c r="CO148" s="797"/>
      <c r="CP148" s="797"/>
      <c r="CQ148" s="797"/>
      <c r="CR148" s="797"/>
      <c r="CS148" s="797"/>
      <c r="CT148" s="797"/>
      <c r="CU148" s="797"/>
    </row>
    <row r="149" spans="1:99" x14ac:dyDescent="0.25">
      <c r="A149" s="163">
        <f>(A148+A147)</f>
        <v>-76.959940681299145</v>
      </c>
      <c r="B149" s="154"/>
      <c r="C149" s="154">
        <f>((F149+E149*-1)+E153)*10-A142+O149*-1-C145*111</f>
        <v>10.520186521377532</v>
      </c>
      <c r="D149" s="154"/>
      <c r="E149" s="154">
        <f>(E153+O149+F149)</f>
        <v>-0.15397967962774661</v>
      </c>
      <c r="F149" s="161">
        <f>(O149*E153)</f>
        <v>5.5072032258841217</v>
      </c>
      <c r="G149" s="161"/>
      <c r="H149" s="191">
        <f>(P150+H150)/2</f>
        <v>737.64835617536403</v>
      </c>
      <c r="I149" s="161"/>
      <c r="J149" s="161"/>
      <c r="K149" s="161"/>
      <c r="L149" s="161"/>
      <c r="M149" s="161"/>
      <c r="N149" s="161">
        <f>(A145-A141)-(A141-B146)</f>
        <v>15.945835293208432</v>
      </c>
      <c r="O149" s="152">
        <f>(P149+A142+C145*10)</f>
        <v>-1.2478581377180442</v>
      </c>
      <c r="P149" s="161">
        <f>E153</f>
        <v>-4.4133247677938243</v>
      </c>
      <c r="Q149" s="162">
        <f>(Q145*Q144*10)</f>
        <v>-9.2606416609588429</v>
      </c>
      <c r="R149" s="171"/>
      <c r="S149" s="151"/>
      <c r="T149" s="163">
        <f>(T148+T147)</f>
        <v>-76.880059348656857</v>
      </c>
      <c r="U149" s="154"/>
      <c r="V149" s="154">
        <f>((Y149+X149*-1)+X153)*10-T142+AH149*-1-V145*111</f>
        <v>10.4757056432213</v>
      </c>
      <c r="W149" s="154"/>
      <c r="X149" s="154">
        <f>(X153+AH149+Y149)</f>
        <v>-0.145915543576562</v>
      </c>
      <c r="Y149" s="161">
        <f>(AH149*X153)</f>
        <v>5.5543374044366596</v>
      </c>
      <c r="Z149" s="161"/>
      <c r="AA149" s="191">
        <f>(AI150+AA150)/2</f>
        <v>737.58107395932905</v>
      </c>
      <c r="AB149" s="161"/>
      <c r="AC149" s="161"/>
      <c r="AD149" s="161"/>
      <c r="AE149" s="161"/>
      <c r="AF149" s="161"/>
      <c r="AG149" s="161">
        <f>(T145-T141)-(T141-U146)</f>
        <v>15.917056269781483</v>
      </c>
      <c r="AH149" s="152">
        <f>(AI149+T142+V145*10)</f>
        <v>-1.2473527802504722</v>
      </c>
      <c r="AI149" s="161">
        <f>X153</f>
        <v>-4.4529001677627491</v>
      </c>
      <c r="AJ149" s="162">
        <f>(AJ145*AJ144*10)</f>
        <v>-7.9526640181453612</v>
      </c>
      <c r="AK149" s="171"/>
      <c r="AL149" s="151"/>
      <c r="AM149" s="163">
        <f>(AM148+AM147)</f>
        <v>-76.759787035137748</v>
      </c>
      <c r="AN149" s="154"/>
      <c r="AO149" s="154">
        <f>((AR149+AQ149*-1)+AQ153)*10-AM142+BA149*-1-AO145*111</f>
        <v>10.302545643585155</v>
      </c>
      <c r="AP149" s="154"/>
      <c r="AQ149" s="154">
        <f>(AQ153+BA149+AR149)</f>
        <v>-9.0269660650035277E-2</v>
      </c>
      <c r="AR149" s="161">
        <f>(BA149*AQ153)</f>
        <v>5.8110200990751908</v>
      </c>
      <c r="AS149" s="161"/>
      <c r="AT149" s="191">
        <f>(BB150+AT150)/2</f>
        <v>927.24922278318354</v>
      </c>
      <c r="AU149" s="161"/>
      <c r="AV149" s="161"/>
      <c r="AW149" s="161"/>
      <c r="AX149" s="161"/>
      <c r="AY149" s="161"/>
      <c r="AZ149" s="161">
        <f>(AM145-AM141)-(AM141-AN146)</f>
        <v>15.835035953369072</v>
      </c>
      <c r="BA149" s="152">
        <f>(BB149+AM142+AO145*10)</f>
        <v>-1.2490911463636492</v>
      </c>
      <c r="BB149" s="161">
        <f>AQ153</f>
        <v>-4.6521986133615769</v>
      </c>
      <c r="BC149" s="162">
        <f>(BC145*BC144*10)</f>
        <v>-2.8125295445811855</v>
      </c>
      <c r="BD149" s="171"/>
      <c r="BE149" s="151"/>
      <c r="BF149" s="163">
        <f>(BF148+BF147)</f>
        <v>-76.879338524910679</v>
      </c>
      <c r="BG149" s="154"/>
      <c r="BH149" s="154">
        <f>((BK149+BJ149*-1)+BJ153)*10-BF142+BT149*-1-BH145*111</f>
        <v>10.474925886366188</v>
      </c>
      <c r="BI149" s="154"/>
      <c r="BJ149" s="154">
        <f>(BJ153+BT149+BK149)</f>
        <v>-0.14568678519583766</v>
      </c>
      <c r="BK149" s="161">
        <f>(BT149*BJ153)</f>
        <v>5.5554310551439876</v>
      </c>
      <c r="BL149" s="161"/>
      <c r="BM149" s="191">
        <f>(BU150+BM150)/2</f>
        <v>927.65382405257697</v>
      </c>
      <c r="BN149" s="161"/>
      <c r="BO149" s="161"/>
      <c r="BP149" s="161"/>
      <c r="BQ149" s="161"/>
      <c r="BR149" s="161"/>
      <c r="BS149" s="161">
        <f>(BF145-BF141)-(BF141-BG146)</f>
        <v>15.916657242350539</v>
      </c>
      <c r="BT149" s="152">
        <f>(BU149+BF142+BH145*10)</f>
        <v>-1.2473574037608648</v>
      </c>
      <c r="BU149" s="161">
        <f>BJ153</f>
        <v>-4.4537604365789605</v>
      </c>
      <c r="BV149" s="162">
        <f>(BV145*BV144*10)</f>
        <v>-7.9312348292460726</v>
      </c>
      <c r="BW149" s="171"/>
      <c r="BX149" s="151"/>
      <c r="BY149" s="797"/>
      <c r="BZ149" s="797"/>
      <c r="CA149" s="797"/>
      <c r="CB149" s="797"/>
      <c r="CC149" s="797"/>
      <c r="CD149" s="797"/>
      <c r="CE149" s="797"/>
      <c r="CF149" s="797"/>
      <c r="CG149" s="797"/>
      <c r="CH149" s="797"/>
      <c r="CI149" s="797"/>
      <c r="CJ149" s="797"/>
      <c r="CK149" s="797"/>
      <c r="CL149" s="797"/>
      <c r="CM149" s="797"/>
      <c r="CN149" s="797"/>
      <c r="CO149" s="797"/>
      <c r="CP149" s="797"/>
      <c r="CQ149" s="797"/>
      <c r="CR149" s="797"/>
      <c r="CS149" s="797"/>
      <c r="CT149" s="797"/>
      <c r="CU149" s="797"/>
    </row>
    <row r="150" spans="1:99" x14ac:dyDescent="0.25">
      <c r="A150" s="163">
        <f>(A141+A149)</f>
        <v>147.51377715808931</v>
      </c>
      <c r="B150" s="154">
        <f>(A141+A150)/2</f>
        <v>185.99374749873888</v>
      </c>
      <c r="C150" s="154">
        <f>(E146-A141)-(A141-B150)</f>
        <v>-39.270327434716904</v>
      </c>
      <c r="D150" s="163">
        <f>(B146+C146)/2</f>
        <v>217.88541808515578</v>
      </c>
      <c r="E150" s="163">
        <f>(A145+A151)</f>
        <v>449.73779277284427</v>
      </c>
      <c r="F150" s="191">
        <f>(G147*2)-G154</f>
        <v>2476.3178540242825</v>
      </c>
      <c r="G150" s="191">
        <f>(A142*F150)</f>
        <v>7828.7015323747328</v>
      </c>
      <c r="H150" s="191">
        <f>(N152+P150)/2</f>
        <v>492.0909073557529</v>
      </c>
      <c r="I150" s="191"/>
      <c r="J150" s="191"/>
      <c r="K150" s="191"/>
      <c r="L150" s="191"/>
      <c r="M150" s="191"/>
      <c r="N150" s="191">
        <f>(O150+O151)/2</f>
        <v>997.88302844135569</v>
      </c>
      <c r="O150" s="152">
        <f>(A144+C146)/2*Q155/Q147</f>
        <v>944.55002641667932</v>
      </c>
      <c r="P150" s="152">
        <f>B143*Q155/Q147</f>
        <v>983.2058049949751</v>
      </c>
      <c r="Q150" s="149">
        <f>(A146+B143)/2</f>
        <v>213.66818961312507</v>
      </c>
      <c r="R150" s="171"/>
      <c r="S150" s="151"/>
      <c r="T150" s="163">
        <f>(T141+T149)</f>
        <v>147.56040312512573</v>
      </c>
      <c r="U150" s="154">
        <f>(T141+T150)/2</f>
        <v>186.00043279945416</v>
      </c>
      <c r="V150" s="154">
        <f>(X146-T141)-(T141-U150)</f>
        <v>-39.240435641205949</v>
      </c>
      <c r="W150" s="163">
        <f>(U146+V146)/2</f>
        <v>217.8345453390171</v>
      </c>
      <c r="X150" s="163">
        <f>(T145+T151)</f>
        <v>449.6813309144427</v>
      </c>
      <c r="Y150" s="191">
        <f>(Z147*2)-Z154</f>
        <v>2548.7317496901733</v>
      </c>
      <c r="Z150" s="191">
        <f>(T142*Y150)</f>
        <v>8160.0804016889288</v>
      </c>
      <c r="AA150" s="191">
        <f>(AG152+AI150)/2</f>
        <v>492.04604259500735</v>
      </c>
      <c r="AB150" s="191"/>
      <c r="AC150" s="191"/>
      <c r="AD150" s="191"/>
      <c r="AE150" s="191"/>
      <c r="AF150" s="191"/>
      <c r="AG150" s="191">
        <f>(AH150+AH151)/2</f>
        <v>997.79974756931654</v>
      </c>
      <c r="AH150" s="152">
        <f>(T144+V146)/2*AJ155/AJ147</f>
        <v>944.47374899232022</v>
      </c>
      <c r="AI150" s="152">
        <f>U143*AJ155/AJ147</f>
        <v>983.1161053236508</v>
      </c>
      <c r="AJ150" s="149">
        <f>(T146+U143)/2</f>
        <v>213.62984610488417</v>
      </c>
      <c r="AK150" s="171"/>
      <c r="AL150" s="151"/>
      <c r="AM150" s="163">
        <f>(AM141+AM149)</f>
        <v>147.86642882037376</v>
      </c>
      <c r="AN150" s="154">
        <f>(AM141+AM150)/2</f>
        <v>186.24632233794262</v>
      </c>
      <c r="AO150" s="154">
        <f>(AQ146-AM141)-(AM141-AN150)</f>
        <v>-39.229820149184263</v>
      </c>
      <c r="AP150" s="163">
        <f>(AN146+AO146)/2</f>
        <v>217.91639424468076</v>
      </c>
      <c r="AQ150" s="163">
        <f>(AM145+AM151)</f>
        <v>450.10235834263841</v>
      </c>
      <c r="AR150" s="191">
        <f>(AS147*2)-AS154</f>
        <v>2940.3630828415794</v>
      </c>
      <c r="AS150" s="191">
        <f>(AM142*AR150)</f>
        <v>9996.3715629032249</v>
      </c>
      <c r="AT150" s="191">
        <f>(AZ152+BB150)/2</f>
        <v>618.49561297138825</v>
      </c>
      <c r="AU150" s="191"/>
      <c r="AV150" s="191"/>
      <c r="AW150" s="191"/>
      <c r="AX150" s="191"/>
      <c r="AY150" s="191"/>
      <c r="AZ150" s="191">
        <f>(BA150+BA151)/2</f>
        <v>1254.5418573249981</v>
      </c>
      <c r="BA150" s="152">
        <f>(AM144+AO146)/2*BC155/BC147</f>
        <v>1187.3922230445157</v>
      </c>
      <c r="BB150" s="152">
        <f>AN143*BC155/BC147</f>
        <v>1236.0028325949788</v>
      </c>
      <c r="BC150" s="149">
        <f>(AM146+AN143)/2</f>
        <v>213.7563525286962</v>
      </c>
      <c r="BD150" s="171"/>
      <c r="BE150" s="151"/>
      <c r="BF150" s="163">
        <f>(BF141+BF149)</f>
        <v>147.56167314791668</v>
      </c>
      <c r="BG150" s="154">
        <f>(BF141+BF150)/2</f>
        <v>186.00134241037202</v>
      </c>
      <c r="BH150" s="154">
        <f>(BJ146-BF141)-(BF141-BG150)</f>
        <v>-39.24028976020972</v>
      </c>
      <c r="BI150" s="163">
        <f>(BG146+BH146)/2</f>
        <v>217.83465689507307</v>
      </c>
      <c r="BJ150" s="163">
        <f>(BF145+BF151)</f>
        <v>449.6826438434091</v>
      </c>
      <c r="BK150" s="191">
        <f>(BL147*2)-BL154</f>
        <v>2550.3426152405959</v>
      </c>
      <c r="BL150" s="191">
        <f>(BF142*BK150)</f>
        <v>8167.4262962326802</v>
      </c>
      <c r="BM150" s="191">
        <f>(BS152+BU150)/2</f>
        <v>618.76539120944494</v>
      </c>
      <c r="BN150" s="191"/>
      <c r="BO150" s="191"/>
      <c r="BP150" s="191"/>
      <c r="BQ150" s="191"/>
      <c r="BR150" s="191"/>
      <c r="BS150" s="191">
        <f>(BT150+BT151)/2</f>
        <v>1255.0113431790578</v>
      </c>
      <c r="BT150" s="152">
        <f>(BF144+BH146)/2*BV155/BV147</f>
        <v>1187.9386764906678</v>
      </c>
      <c r="BU150" s="152">
        <f>BG143*BV155/BV147</f>
        <v>1236.542256895709</v>
      </c>
      <c r="BV150" s="149">
        <f>(BF146+BG143)/2</f>
        <v>213.63016361058192</v>
      </c>
      <c r="BW150" s="171"/>
      <c r="BX150" s="151"/>
      <c r="BY150" s="797"/>
      <c r="BZ150" s="797"/>
      <c r="CA150" s="797"/>
      <c r="CB150" s="797"/>
      <c r="CC150" s="797"/>
      <c r="CD150" s="797"/>
      <c r="CE150" s="797"/>
      <c r="CF150" s="797"/>
      <c r="CG150" s="797"/>
      <c r="CH150" s="797"/>
      <c r="CI150" s="797"/>
      <c r="CJ150" s="797"/>
      <c r="CK150" s="797"/>
      <c r="CL150" s="797"/>
      <c r="CM150" s="797"/>
      <c r="CN150" s="797"/>
      <c r="CO150" s="797"/>
      <c r="CP150" s="797"/>
      <c r="CQ150" s="797"/>
      <c r="CR150" s="797"/>
      <c r="CS150" s="797"/>
      <c r="CT150" s="797"/>
      <c r="CU150" s="797"/>
    </row>
    <row r="151" spans="1:99" x14ac:dyDescent="0.25">
      <c r="A151" s="163">
        <f>((A146+A145+A144+A143)/4-A146-A141)*-1</f>
        <v>205.23373266906367</v>
      </c>
      <c r="B151" s="154">
        <f>(B146+C146)/2</f>
        <v>217.88541808515578</v>
      </c>
      <c r="C151" s="154">
        <f>(E153+A142)</f>
        <v>-1.2518963915244967</v>
      </c>
      <c r="D151" s="163">
        <f>(A153+D152+A145+D152)/2</f>
        <v>379.40264433049856</v>
      </c>
      <c r="E151" s="163">
        <f>(A146+D152+A145)/3</f>
        <v>201.22625763212341</v>
      </c>
      <c r="F151" s="191">
        <f>(O151+P150)/2</f>
        <v>1017.2109177305035</v>
      </c>
      <c r="G151" s="149"/>
      <c r="H151" s="191">
        <f>(O151+P150+N150)/3</f>
        <v>1010.7682879674543</v>
      </c>
      <c r="I151" s="191"/>
      <c r="J151" s="191"/>
      <c r="K151" s="191"/>
      <c r="L151" s="191"/>
      <c r="M151" s="191"/>
      <c r="N151" s="191">
        <f>((A151+A145)/2)*Q155/Q147</f>
        <v>991.92168739343992</v>
      </c>
      <c r="O151" s="152">
        <f>((A152+A143)/2)*Q155/Q147</f>
        <v>1051.216030466032</v>
      </c>
      <c r="P151" s="152">
        <f>B142*Q155/Q147</f>
        <v>961.11678866452053</v>
      </c>
      <c r="Q151" s="162">
        <f>A142+E153</f>
        <v>-1.2518963915244967</v>
      </c>
      <c r="R151" s="171"/>
      <c r="S151" s="151"/>
      <c r="T151" s="163">
        <f>((T146+T145+T144+T143)/4-T146-T141)*-1</f>
        <v>205.22044763661839</v>
      </c>
      <c r="U151" s="154">
        <f>(U146+V146)/2</f>
        <v>217.8345453390171</v>
      </c>
      <c r="V151" s="154">
        <f>(X153+T142)</f>
        <v>-1.2512763002526128</v>
      </c>
      <c r="W151" s="163">
        <f>(T153+W152+T145+W152)/2</f>
        <v>379.37412264275457</v>
      </c>
      <c r="X151" s="163">
        <f>(T146+W152+T145)/3</f>
        <v>201.20482787493927</v>
      </c>
      <c r="Y151" s="191">
        <f>(AH151+AI150)/2</f>
        <v>1017.1209257349818</v>
      </c>
      <c r="Z151" s="149"/>
      <c r="AA151" s="191">
        <f>(AH151+AI150+AG150)/3</f>
        <v>1010.6805330130934</v>
      </c>
      <c r="AB151" s="191"/>
      <c r="AC151" s="191"/>
      <c r="AD151" s="191"/>
      <c r="AE151" s="191"/>
      <c r="AF151" s="191"/>
      <c r="AG151" s="191">
        <f>((T151+T145)/2)*AJ155/AJ147</f>
        <v>991.9441123112706</v>
      </c>
      <c r="AH151" s="152">
        <f>((T152+T143)/2)*AJ155/AJ147</f>
        <v>1051.1257461463128</v>
      </c>
      <c r="AI151" s="152">
        <f>U142*AJ155/AJ147</f>
        <v>961.03475884860484</v>
      </c>
      <c r="AJ151" s="162">
        <f>T142+X153</f>
        <v>-1.2512763002526128</v>
      </c>
      <c r="AK151" s="171"/>
      <c r="AL151" s="151"/>
      <c r="AM151" s="163">
        <f>((AM146+AM145+AM144+AM143)/4-AM146-AM141)*-1</f>
        <v>205.43626909672707</v>
      </c>
      <c r="AN151" s="154">
        <f>(AN146+AO146)/2</f>
        <v>217.91639424468076</v>
      </c>
      <c r="AO151" s="154">
        <f>(AQ153+AM142)</f>
        <v>-1.2524920868999914</v>
      </c>
      <c r="AP151" s="163">
        <f>(AM153+AP152+AM145+AP152)/2</f>
        <v>379.76065725116246</v>
      </c>
      <c r="AQ151" s="163">
        <f>(AM146+AP152+AM145)/3</f>
        <v>201.39146381625673</v>
      </c>
      <c r="AR151" s="191">
        <f>(BA151+BB150)/2</f>
        <v>1278.8471621002295</v>
      </c>
      <c r="AS151" s="149"/>
      <c r="AT151" s="191">
        <f>(BA151+BB150+AZ150)/3</f>
        <v>1270.7453938418191</v>
      </c>
      <c r="AU151" s="191"/>
      <c r="AV151" s="191"/>
      <c r="AW151" s="191"/>
      <c r="AX151" s="191"/>
      <c r="AY151" s="191"/>
      <c r="AZ151" s="191">
        <f>((AM151+AM145)/2)*BC155/BC147</f>
        <v>1247.783760072092</v>
      </c>
      <c r="BA151" s="152">
        <f>((AM152+AM143)/2)*BC155/BC147</f>
        <v>1321.6914916054805</v>
      </c>
      <c r="BB151" s="152">
        <f>AN142*BC155/BC147</f>
        <v>1208.2253414232855</v>
      </c>
      <c r="BC151" s="162">
        <f>AM142+AQ153</f>
        <v>-1.2524920868999914</v>
      </c>
      <c r="BD151" s="171"/>
      <c r="BE151" s="151"/>
      <c r="BF151" s="163">
        <f>((BF146+BF145+BF144+BF143)/4-BF146-BF141)*-1</f>
        <v>205.22117704159967</v>
      </c>
      <c r="BG151" s="154">
        <f>(BG146+BH146)/2</f>
        <v>217.83465689507307</v>
      </c>
      <c r="BH151" s="154">
        <f>(BJ153+BF142)</f>
        <v>-1.2512784455613826</v>
      </c>
      <c r="BI151" s="163">
        <f>(BF153+BI152+BF145+BI152)/2</f>
        <v>379.3754119733245</v>
      </c>
      <c r="BJ151" s="163">
        <f>(BF146+BI152+BF145)/3</f>
        <v>201.20542284057106</v>
      </c>
      <c r="BK151" s="191">
        <f>(BT151+BU150)/2</f>
        <v>1279.3131333815786</v>
      </c>
      <c r="BL151" s="149"/>
      <c r="BM151" s="191">
        <f>(BT151+BU150+BS150)/3</f>
        <v>1271.2125366474049</v>
      </c>
      <c r="BN151" s="191"/>
      <c r="BO151" s="191"/>
      <c r="BP151" s="191"/>
      <c r="BQ151" s="191"/>
      <c r="BR151" s="191"/>
      <c r="BS151" s="191">
        <f>((BF151+BF145)/2)*BV155/BV147</f>
        <v>1247.6489039969094</v>
      </c>
      <c r="BT151" s="152">
        <f>((BF152+BF143)/2)*BV155/BV147</f>
        <v>1322.084009867448</v>
      </c>
      <c r="BU151" s="152">
        <f>BG142*BV155/BV147</f>
        <v>1208.7687823785427</v>
      </c>
      <c r="BV151" s="162">
        <f>BF142+BJ153</f>
        <v>-1.2512784455613826</v>
      </c>
      <c r="BW151" s="171"/>
      <c r="BX151" s="151"/>
      <c r="BY151" s="797"/>
      <c r="BZ151" s="797"/>
      <c r="CA151" s="797"/>
      <c r="CB151" s="797"/>
      <c r="CC151" s="797"/>
      <c r="CD151" s="797"/>
      <c r="CE151" s="797"/>
      <c r="CF151" s="797"/>
      <c r="CG151" s="797"/>
      <c r="CH151" s="797"/>
      <c r="CI151" s="797"/>
      <c r="CJ151" s="797"/>
      <c r="CK151" s="797"/>
      <c r="CL151" s="797"/>
      <c r="CM151" s="797"/>
      <c r="CN151" s="797"/>
      <c r="CO151" s="797"/>
      <c r="CP151" s="797"/>
      <c r="CQ151" s="797"/>
      <c r="CR151" s="797"/>
      <c r="CS151" s="797"/>
      <c r="CT151" s="797"/>
      <c r="CU151" s="797"/>
    </row>
    <row r="152" spans="1:99" x14ac:dyDescent="0.25">
      <c r="A152" s="163">
        <f>((A146+A145+A144+A143)/4-A146-A141*-1)</f>
        <v>243.71370300971324</v>
      </c>
      <c r="B152" s="154">
        <f>B143/2</f>
        <v>111.4465018256269</v>
      </c>
      <c r="C152" s="154">
        <f>(B142+C146)/2</f>
        <v>216.63352169363128</v>
      </c>
      <c r="D152" s="163">
        <f>(A151+A150+B152)/3</f>
        <v>154.73133721759328</v>
      </c>
      <c r="E152" s="163">
        <f>(A146+A145+B152)/3</f>
        <v>186.79797916813459</v>
      </c>
      <c r="F152" s="149">
        <f>E149+(C156*-1)-E149-E153</f>
        <v>2.9335112891713564</v>
      </c>
      <c r="G152" s="149"/>
      <c r="H152" s="191">
        <f>(P152+N152)/2</f>
        <v>345.29657570472892</v>
      </c>
      <c r="I152" s="149"/>
      <c r="J152" s="149"/>
      <c r="K152" s="149"/>
      <c r="L152" s="149"/>
      <c r="M152" s="149"/>
      <c r="N152" s="191">
        <f>((N151+N150)/2/Q146)</f>
        <v>0.97600971653066804</v>
      </c>
      <c r="O152" s="152">
        <f>((A144+D150)/2)*Q155/Q147</f>
        <v>950.07228049929313</v>
      </c>
      <c r="P152" s="152">
        <f>((B152+E151)/2)*Q155/Q147</f>
        <v>689.61714169292713</v>
      </c>
      <c r="Q152" s="162">
        <f>(Q151*Q149/10)</f>
        <v>1.1593363878555798</v>
      </c>
      <c r="R152" s="171"/>
      <c r="S152" s="151"/>
      <c r="T152" s="163">
        <f>((T146+T145+T144+T143)/4-T146-T141*-1)</f>
        <v>243.66047731094679</v>
      </c>
      <c r="U152" s="154">
        <f>U143/2</f>
        <v>111.41982527001376</v>
      </c>
      <c r="V152" s="154">
        <f>(U142+V146)/2</f>
        <v>216.58326903876448</v>
      </c>
      <c r="W152" s="163">
        <f>(T151+T150+U152)/3</f>
        <v>154.7335586772526</v>
      </c>
      <c r="X152" s="163">
        <f>(T146+T145+U152)/3</f>
        <v>186.76691673919299</v>
      </c>
      <c r="Y152" s="149">
        <f>X149+(V156*-1)-X149-X153</f>
        <v>2.9286058109840489</v>
      </c>
      <c r="Z152" s="149"/>
      <c r="AA152" s="191">
        <f>(AI152+AG152)/2</f>
        <v>345.29459266658597</v>
      </c>
      <c r="AB152" s="149"/>
      <c r="AC152" s="149"/>
      <c r="AD152" s="149"/>
      <c r="AE152" s="149"/>
      <c r="AF152" s="149"/>
      <c r="AG152" s="191">
        <f>((AG151+AG150)/2/AJ146)</f>
        <v>0.97597986636389344</v>
      </c>
      <c r="AH152" s="152">
        <f>((T144+W150)/2)*AJ155/AJ147</f>
        <v>949.9940856110818</v>
      </c>
      <c r="AI152" s="152">
        <f>((U152+X151)/2)*AJ155/AJ147</f>
        <v>689.61320546680804</v>
      </c>
      <c r="AJ152" s="162">
        <f>(AJ151*AJ149/10)</f>
        <v>0.99509800097770051</v>
      </c>
      <c r="AK152" s="171"/>
      <c r="AL152" s="151"/>
      <c r="AM152" s="163">
        <f>((AM146+AM145+AM144+AM143)/4-AM146-AM141*-1)</f>
        <v>243.81616261429593</v>
      </c>
      <c r="AN152" s="154">
        <f>AN143/2</f>
        <v>111.46318129614036</v>
      </c>
      <c r="AO152" s="154">
        <f>(AN142+AO146)/2</f>
        <v>216.66390215778077</v>
      </c>
      <c r="AP152" s="163">
        <f>(AM151+AM150+AN152)/3</f>
        <v>154.92195973774707</v>
      </c>
      <c r="AQ152" s="163">
        <f>(AM146+AM145+AN152)/3</f>
        <v>186.90520433572112</v>
      </c>
      <c r="AR152" s="149">
        <f>AQ149+(AO156*-1)-AQ149-AQ153</f>
        <v>2.9547442569467322</v>
      </c>
      <c r="AS152" s="149"/>
      <c r="AT152" s="191">
        <f>(BB152+AZ152)/2</f>
        <v>434.14549642691588</v>
      </c>
      <c r="AU152" s="149"/>
      <c r="AV152" s="149"/>
      <c r="AW152" s="149"/>
      <c r="AX152" s="149"/>
      <c r="AY152" s="149"/>
      <c r="AZ152" s="191">
        <f>((AZ151+AZ150)/2/BC146)</f>
        <v>0.98839334779763632</v>
      </c>
      <c r="BA152" s="152">
        <f>((AM144+AP150)/2)*BC155/BC147</f>
        <v>1194.3365958374391</v>
      </c>
      <c r="BB152" s="152">
        <f>((AN152+AQ151)/2)*BC155/BC147</f>
        <v>867.30259950603408</v>
      </c>
      <c r="BC152" s="162">
        <f>(BC151*BC149/10)</f>
        <v>0.35226709987603716</v>
      </c>
      <c r="BD152" s="171"/>
      <c r="BE152" s="151"/>
      <c r="BF152" s="163">
        <f>((BF146+BF145+BF144+BF143)/4-BF146-BF141*-1)</f>
        <v>243.66084630405504</v>
      </c>
      <c r="BG152" s="154">
        <f>BG143/2</f>
        <v>111.41988533865928</v>
      </c>
      <c r="BH152" s="154">
        <f>(BG142+BH146)/2</f>
        <v>216.58337844951168</v>
      </c>
      <c r="BI152" s="163">
        <f>(BF151+BF150+BG152)/3</f>
        <v>154.73424517605855</v>
      </c>
      <c r="BJ152" s="163">
        <f>(BF146+BF145+BG152)/3</f>
        <v>186.76730289477132</v>
      </c>
      <c r="BK152" s="149">
        <f>BJ149+(BH156*-1)-BJ149-BJ153</f>
        <v>2.9286863229451487</v>
      </c>
      <c r="BL152" s="149"/>
      <c r="BM152" s="191">
        <f>(BU152+BS152)/2</f>
        <v>434.18525401022862</v>
      </c>
      <c r="BN152" s="149"/>
      <c r="BO152" s="149"/>
      <c r="BP152" s="149"/>
      <c r="BQ152" s="149"/>
      <c r="BR152" s="149"/>
      <c r="BS152" s="191">
        <f>((BS151+BS150)/2/BV146)</f>
        <v>0.98852552318085474</v>
      </c>
      <c r="BT152" s="152">
        <f>((BF144+BI150)/2)*BV155/BV147</f>
        <v>1194.8820451199595</v>
      </c>
      <c r="BU152" s="152">
        <f>((BG152+BJ151)/2)*BV155/BV147</f>
        <v>867.38198249727634</v>
      </c>
      <c r="BV152" s="162">
        <f>(BV151*BV149/10)</f>
        <v>0.99241831885213239</v>
      </c>
      <c r="BW152" s="171"/>
      <c r="BX152" s="151"/>
      <c r="BY152" s="797"/>
      <c r="BZ152" s="797"/>
      <c r="CA152" s="797"/>
      <c r="CB152" s="797"/>
      <c r="CC152" s="797"/>
      <c r="CD152" s="797"/>
      <c r="CE152" s="797"/>
      <c r="CF152" s="797"/>
      <c r="CG152" s="797"/>
      <c r="CH152" s="797"/>
      <c r="CI152" s="797"/>
      <c r="CJ152" s="797"/>
      <c r="CK152" s="797"/>
      <c r="CL152" s="797"/>
      <c r="CM152" s="797"/>
      <c r="CN152" s="797"/>
      <c r="CO152" s="797"/>
      <c r="CP152" s="797"/>
      <c r="CQ152" s="797"/>
      <c r="CR152" s="797"/>
      <c r="CS152" s="797"/>
      <c r="CT152" s="797"/>
      <c r="CU152" s="797"/>
    </row>
    <row r="153" spans="1:99" x14ac:dyDescent="0.25">
      <c r="A153" s="163">
        <f>(A146+A151)/2</f>
        <v>204.83855412203002</v>
      </c>
      <c r="B153" s="154">
        <f>(A143+B145)/2</f>
        <v>230.40438200040083</v>
      </c>
      <c r="C153" s="154">
        <f>(A142*C145)</f>
        <v>1.2766650174296757E-3</v>
      </c>
      <c r="D153" s="154">
        <f>(A143+B153)/2</f>
        <v>231.65627839192535</v>
      </c>
      <c r="E153" s="154">
        <f>(D153-A141)-(A141-A144)</f>
        <v>-4.4133247677938243</v>
      </c>
      <c r="F153" s="191">
        <f>(N153+H153)/2</f>
        <v>1031.3059847351935</v>
      </c>
      <c r="G153" s="149"/>
      <c r="H153" s="314">
        <f>A152*Q155/Q147</f>
        <v>1075.0482232761794</v>
      </c>
      <c r="I153" s="149"/>
      <c r="J153" s="149"/>
      <c r="K153" s="149"/>
      <c r="L153" s="149"/>
      <c r="M153" s="149"/>
      <c r="N153" s="191">
        <f>(N151+P150)/2</f>
        <v>987.56374619420751</v>
      </c>
      <c r="O153" s="152">
        <f>((E150+A150)/2)*Q155/Q147</f>
        <v>1317.2715181254478</v>
      </c>
      <c r="P153" s="152">
        <f>((E151+E153/10)/2)*Q155/Q147</f>
        <v>442.84230714817539</v>
      </c>
      <c r="Q153" s="163">
        <f>(Q152+C156)</f>
        <v>2.6391498664780477</v>
      </c>
      <c r="R153" s="171"/>
      <c r="S153" s="151"/>
      <c r="T153" s="163">
        <f>(T146+T151)/2</f>
        <v>204.8202446531796</v>
      </c>
      <c r="U153" s="154">
        <f>(T143+U145)/2</f>
        <v>230.34730834154317</v>
      </c>
      <c r="V153" s="154">
        <f>(T142*V145)</f>
        <v>1.256163528350651E-3</v>
      </c>
      <c r="W153" s="154">
        <f>(T143+U153)/2</f>
        <v>231.59858464179578</v>
      </c>
      <c r="X153" s="154">
        <f>(W153-T141)-(T141-T144)</f>
        <v>-4.4529001677627491</v>
      </c>
      <c r="Y153" s="191">
        <f>(AG153+AA153)/2</f>
        <v>1031.2514014181718</v>
      </c>
      <c r="Z153" s="149"/>
      <c r="AA153" s="314">
        <f>T152*AJ155/AJ147</f>
        <v>1074.972694018883</v>
      </c>
      <c r="AB153" s="149"/>
      <c r="AC153" s="149"/>
      <c r="AD153" s="149"/>
      <c r="AE153" s="149"/>
      <c r="AF153" s="149"/>
      <c r="AG153" s="191">
        <f>(AG151+AI150)/2</f>
        <v>987.5301088174607</v>
      </c>
      <c r="AH153" s="152">
        <f>((X150+T150)/2)*AJ155/AJ147</f>
        <v>1317.4450015578716</v>
      </c>
      <c r="AI153" s="152">
        <f>((X151+X153/10)/2)*AJ155/AJ147</f>
        <v>442.85192174594772</v>
      </c>
      <c r="AJ153" s="163">
        <f>(AJ152+V156)</f>
        <v>2.5193923577564008</v>
      </c>
      <c r="AK153" s="171"/>
      <c r="AL153" s="151"/>
      <c r="AM153" s="163">
        <f>(AM146+AM151)/2</f>
        <v>205.01130578091937</v>
      </c>
      <c r="AN153" s="154">
        <f>(AM143+AN145)/2</f>
        <v>230.44131511368067</v>
      </c>
      <c r="AO153" s="154">
        <f>(AM142*AO145)</f>
        <v>1.156219973751029E-3</v>
      </c>
      <c r="AP153" s="154">
        <f>(AM143+AN153)/2</f>
        <v>231.69380720058064</v>
      </c>
      <c r="AQ153" s="154">
        <f>(AP153-AM141)-(AM141-AM144)</f>
        <v>-4.6521986133615769</v>
      </c>
      <c r="AR153" s="191">
        <f>(AZ153+AT153)/2</f>
        <v>1296.8592323030659</v>
      </c>
      <c r="AS153" s="149"/>
      <c r="AT153" s="314">
        <f>AM152*BC155/BC147</f>
        <v>1351.8251682725963</v>
      </c>
      <c r="AU153" s="149"/>
      <c r="AV153" s="149"/>
      <c r="AW153" s="149"/>
      <c r="AX153" s="149"/>
      <c r="AY153" s="149"/>
      <c r="AZ153" s="191">
        <f>(AZ151+BB150)/2</f>
        <v>1241.8932963335355</v>
      </c>
      <c r="BA153" s="152">
        <f>((AQ150+AM150)/2)*BC155/BC147</f>
        <v>1657.7023599685726</v>
      </c>
      <c r="BB153" s="152">
        <f>((AQ151+AQ153/10)/2)*BC155/BC147</f>
        <v>557.01219851947428</v>
      </c>
      <c r="BC153" s="163">
        <f>(BC152+AO156)</f>
        <v>2.0497214562908819</v>
      </c>
      <c r="BD153" s="171"/>
      <c r="BE153" s="151"/>
      <c r="BF153" s="163">
        <f>(BF146+BF151)/2</f>
        <v>204.82086679272248</v>
      </c>
      <c r="BG153" s="154">
        <f>(BF143+BG145)/2</f>
        <v>230.34744135068684</v>
      </c>
      <c r="BH153" s="154">
        <f>(BF142*BH145)</f>
        <v>1.2557065752185066E-3</v>
      </c>
      <c r="BI153" s="154">
        <f>(BF143+BG153)/2</f>
        <v>231.59871979624822</v>
      </c>
      <c r="BJ153" s="154">
        <f>(BI153-BF141)-(BF141-BF144)</f>
        <v>-4.4537604365789605</v>
      </c>
      <c r="BK153" s="191">
        <f>(BS153+BM153)/2</f>
        <v>1297.087197125582</v>
      </c>
      <c r="BL153" s="149"/>
      <c r="BM153" s="314">
        <f>BF152*BV155/BV147</f>
        <v>1352.0788138048545</v>
      </c>
      <c r="BN153" s="149"/>
      <c r="BO153" s="149"/>
      <c r="BP153" s="149"/>
      <c r="BQ153" s="149"/>
      <c r="BR153" s="149"/>
      <c r="BS153" s="191">
        <f>(BS151+BU150)/2</f>
        <v>1242.0955804463092</v>
      </c>
      <c r="BT153" s="152">
        <f>((BJ150+BF150)/2)*BV155/BV147</f>
        <v>1657.0602128288747</v>
      </c>
      <c r="BU153" s="152">
        <f>((BJ151+BJ153/10)/2)*BV155/BV147</f>
        <v>557.01071807378855</v>
      </c>
      <c r="BV153" s="163">
        <f>(BV152+BH156)</f>
        <v>2.5174924324859442</v>
      </c>
      <c r="BW153" s="171"/>
      <c r="BX153" s="151"/>
      <c r="BY153" s="797"/>
      <c r="BZ153" s="797"/>
      <c r="CA153" s="797"/>
      <c r="CB153" s="797"/>
      <c r="CC153" s="797"/>
      <c r="CD153" s="797"/>
      <c r="CE153" s="797"/>
      <c r="CF153" s="797"/>
      <c r="CG153" s="797"/>
      <c r="CH153" s="797"/>
      <c r="CI153" s="797"/>
      <c r="CJ153" s="797"/>
      <c r="CK153" s="797"/>
      <c r="CL153" s="797"/>
      <c r="CM153" s="797"/>
      <c r="CN153" s="797"/>
      <c r="CO153" s="797"/>
      <c r="CP153" s="797"/>
      <c r="CQ153" s="797"/>
      <c r="CR153" s="797"/>
      <c r="CS153" s="797"/>
      <c r="CT153" s="797"/>
      <c r="CU153" s="797"/>
    </row>
    <row r="154" spans="1:99" x14ac:dyDescent="0.25">
      <c r="A154" s="163">
        <f>(A142*-1)+A149</f>
        <v>-80.121369057568472</v>
      </c>
      <c r="B154" s="163">
        <f>(A155*-1)+A154</f>
        <v>-6.3228567525386552</v>
      </c>
      <c r="C154" s="163">
        <f>(B154/2)+A142</f>
        <v>0</v>
      </c>
      <c r="D154" s="154"/>
      <c r="E154" s="163">
        <f>(C154*A142)+D147</f>
        <v>7.5898168674522992</v>
      </c>
      <c r="F154" s="191">
        <f>A150*Q155/Q155</f>
        <v>147.51377715808931</v>
      </c>
      <c r="G154" s="191">
        <f>(E154+F154)</f>
        <v>155.10359402554161</v>
      </c>
      <c r="H154" s="149">
        <f>(O155+H152)/2</f>
        <v>1164.5699752458045</v>
      </c>
      <c r="I154" s="149"/>
      <c r="J154" s="149"/>
      <c r="K154" s="149"/>
      <c r="L154" s="149"/>
      <c r="M154" s="149"/>
      <c r="N154" s="191">
        <f>(O151+H151+O151)/3</f>
        <v>1037.7334496331728</v>
      </c>
      <c r="O154" s="152">
        <f>((B145+E153)/2)*Q155/Q147</f>
        <v>492.91357770263625</v>
      </c>
      <c r="P154" s="152">
        <f>D150*Q155/Q147</f>
        <v>961.11678866452053</v>
      </c>
      <c r="Q154" s="248">
        <f>((Q153*Q152*C156*-1)*Q155*Q144*Q145)*-3.444</f>
        <v>-57.329113704105445</v>
      </c>
      <c r="R154" s="171"/>
      <c r="S154" s="151"/>
      <c r="T154" s="163">
        <f>(T142*-1)+T149</f>
        <v>-80.081683216166994</v>
      </c>
      <c r="U154" s="163">
        <f>(T155*-1)+T154</f>
        <v>-6.4032477350202726</v>
      </c>
      <c r="V154" s="163">
        <f>(U154/2)+T142</f>
        <v>0</v>
      </c>
      <c r="W154" s="154"/>
      <c r="X154" s="163">
        <f>(V154*T142)+W147</f>
        <v>7.6069381749675955</v>
      </c>
      <c r="Y154" s="191">
        <f>T150*AJ155/AJ155</f>
        <v>147.56040312512573</v>
      </c>
      <c r="Z154" s="191">
        <f>(X154+Y154)</f>
        <v>155.16734130009331</v>
      </c>
      <c r="AA154" s="149">
        <f>(AH155+AA152)/2</f>
        <v>1164.5914086445637</v>
      </c>
      <c r="AB154" s="149"/>
      <c r="AC154" s="149"/>
      <c r="AD154" s="149"/>
      <c r="AE154" s="149"/>
      <c r="AF154" s="149"/>
      <c r="AG154" s="191">
        <f>(AH151+AA151+AH151)/3</f>
        <v>1037.6440084352396</v>
      </c>
      <c r="AH154" s="152">
        <f>((U145+X153)/2)*AJ155/AJ147</f>
        <v>492.77615199987179</v>
      </c>
      <c r="AI154" s="152">
        <f>W150*AJ155/AJ147</f>
        <v>961.03475884860484</v>
      </c>
      <c r="AJ154" s="248">
        <f>((AJ153*AJ152*V156*-1)*AJ155*AJ144*AJ145)*-3.444</f>
        <v>-23.54988545147431</v>
      </c>
      <c r="AK154" s="171"/>
      <c r="AL154" s="151"/>
      <c r="AM154" s="163">
        <f>(AM142*-1)+AM149</f>
        <v>-80.159493561599334</v>
      </c>
      <c r="AN154" s="163">
        <f>(AM155*-1)+AM154</f>
        <v>-6.7994130529231711</v>
      </c>
      <c r="AO154" s="163">
        <f>(AN154/2)+AM142</f>
        <v>0</v>
      </c>
      <c r="AP154" s="154"/>
      <c r="AQ154" s="163">
        <f>(AO154*AM142)+AP147</f>
        <v>7.7118152803507414</v>
      </c>
      <c r="AR154" s="191">
        <f>AM150*BC155/BC155</f>
        <v>147.86642882037376</v>
      </c>
      <c r="AS154" s="191">
        <f>(AQ154+AR154)</f>
        <v>155.5782441007245</v>
      </c>
      <c r="AT154" s="149">
        <f>(BA155+AT152)/2</f>
        <v>1464.85650828555</v>
      </c>
      <c r="AU154" s="149"/>
      <c r="AV154" s="149"/>
      <c r="AW154" s="149"/>
      <c r="AX154" s="149"/>
      <c r="AY154" s="149"/>
      <c r="AZ154" s="191">
        <f>(BA151+AT151+BA151)/3</f>
        <v>1304.7094590175932</v>
      </c>
      <c r="BA154" s="152">
        <f>((AN145+AQ153)/2)*BC155/BC147</f>
        <v>618.99323350518353</v>
      </c>
      <c r="BB154" s="152">
        <f>AP150*BC155/BC147</f>
        <v>1208.2253414232855</v>
      </c>
      <c r="BC154" s="248">
        <f>((BC153*BC152*AO156*-1)*BC155*BC144*BC145)*-3.444</f>
        <v>-5.9241468861938227</v>
      </c>
      <c r="BD154" s="171"/>
      <c r="BE154" s="151"/>
      <c r="BF154" s="163">
        <f>(BF142*-1)+BF149</f>
        <v>-80.081820515928257</v>
      </c>
      <c r="BG154" s="163">
        <f>(BF155*-1)+BF154</f>
        <v>-6.4049639820351558</v>
      </c>
      <c r="BH154" s="163">
        <f>(BG154/2)+BF142</f>
        <v>0</v>
      </c>
      <c r="BI154" s="154"/>
      <c r="BJ154" s="163">
        <f>(BH154*BF142)+BI147</f>
        <v>7.6073775342034082</v>
      </c>
      <c r="BK154" s="191">
        <f>BF150*BV155/BV155</f>
        <v>147.56167314791668</v>
      </c>
      <c r="BL154" s="191">
        <f>(BJ154+BK154)</f>
        <v>155.16905068212009</v>
      </c>
      <c r="BM154" s="149">
        <f>(BT155+BM152)/2</f>
        <v>1464.7415310020237</v>
      </c>
      <c r="BN154" s="149"/>
      <c r="BO154" s="149"/>
      <c r="BP154" s="149"/>
      <c r="BQ154" s="149"/>
      <c r="BR154" s="149"/>
      <c r="BS154" s="191">
        <f>(BT151+BM151+BT151)/3</f>
        <v>1305.1268521274335</v>
      </c>
      <c r="BT154" s="152">
        <f>((BG145+BJ153)/2)*BV155/BV147</f>
        <v>619.80086371083121</v>
      </c>
      <c r="BU154" s="152">
        <f>BI150*BV155/BV147</f>
        <v>1208.7687823785427</v>
      </c>
      <c r="BV154" s="248">
        <f>((BV153*BV152*BH156*-1)*BV155*BV144*BV145)*-3.444</f>
        <v>-29.454000001492879</v>
      </c>
      <c r="BW154" s="171"/>
      <c r="BX154" s="151"/>
      <c r="BY154" s="797"/>
      <c r="BZ154" s="797"/>
      <c r="CA154" s="797"/>
      <c r="CB154" s="797"/>
      <c r="CC154" s="797"/>
      <c r="CD154" s="797"/>
      <c r="CE154" s="797"/>
      <c r="CF154" s="797"/>
      <c r="CG154" s="797"/>
      <c r="CH154" s="797"/>
      <c r="CI154" s="797"/>
      <c r="CJ154" s="797"/>
      <c r="CK154" s="797"/>
      <c r="CL154" s="797"/>
      <c r="CM154" s="797"/>
      <c r="CN154" s="797"/>
      <c r="CO154" s="797"/>
      <c r="CP154" s="797"/>
      <c r="CQ154" s="797"/>
      <c r="CR154" s="797"/>
      <c r="CS154" s="797"/>
      <c r="CT154" s="797"/>
      <c r="CU154" s="797"/>
    </row>
    <row r="155" spans="1:99" x14ac:dyDescent="0.25">
      <c r="A155" s="163">
        <f>A142+A149</f>
        <v>-73.798512305029817</v>
      </c>
      <c r="B155" s="163">
        <f>(A156+(A154*-1)+A155)</f>
        <v>-147.59702461005963</v>
      </c>
      <c r="C155" s="154">
        <f>(B155/10)</f>
        <v>-14.759702461005963</v>
      </c>
      <c r="D155" s="154"/>
      <c r="E155" s="154">
        <f>((D151+B152)/2)*Q155</f>
        <v>974.33555511990915</v>
      </c>
      <c r="F155" s="149">
        <f>((E150+B152)/2)*Q155/Q147</f>
        <v>1237.7231386421838</v>
      </c>
      <c r="G155" s="149"/>
      <c r="H155" s="149">
        <f>(Q156/2)</f>
        <v>445.58032991118608</v>
      </c>
      <c r="I155" s="149"/>
      <c r="J155" s="149"/>
      <c r="K155" s="149"/>
      <c r="L155" s="149"/>
      <c r="M155" s="149"/>
      <c r="N155" s="191">
        <f>(Q156/2)/Q147</f>
        <v>495.08925545687339</v>
      </c>
      <c r="O155" s="152">
        <f>E150*Q155/Q147</f>
        <v>1983.8433747868798</v>
      </c>
      <c r="P155" s="152">
        <f>((B142+A145)/2)*Q155/Q147</f>
        <v>1019.8256824500429</v>
      </c>
      <c r="Q155" s="322">
        <f>ROUND(O148,N156)</f>
        <v>3.97</v>
      </c>
      <c r="R155" s="171"/>
      <c r="S155" s="151"/>
      <c r="T155" s="163">
        <f>T142+T149</f>
        <v>-73.678435481146721</v>
      </c>
      <c r="U155" s="163">
        <f>(T156+(T154*-1)+T155)</f>
        <v>-147.35687096229344</v>
      </c>
      <c r="V155" s="154">
        <f>(U155/10)</f>
        <v>-14.735687096229345</v>
      </c>
      <c r="W155" s="154"/>
      <c r="X155" s="154">
        <f>((W151+U152)/2)*AJ155</f>
        <v>552.14319140186433</v>
      </c>
      <c r="Y155" s="149">
        <f>((X150+U152)/2)*AJ155/AJ147</f>
        <v>1237.7231386421834</v>
      </c>
      <c r="Z155" s="149"/>
      <c r="AA155" s="149">
        <f>(AJ156/2)</f>
        <v>252.49552028300542</v>
      </c>
      <c r="AB155" s="149"/>
      <c r="AC155" s="149"/>
      <c r="AD155" s="149"/>
      <c r="AE155" s="149"/>
      <c r="AF155" s="149"/>
      <c r="AG155" s="191">
        <f>(AJ156/2)/AJ147</f>
        <v>495.08925545687339</v>
      </c>
      <c r="AH155" s="152">
        <f>X150*AJ155/AJ147</f>
        <v>1983.8882246225412</v>
      </c>
      <c r="AI155" s="152">
        <f>((U142+T145)/2)*AJ155/AJ147</f>
        <v>1019.7693278312678</v>
      </c>
      <c r="AJ155" s="322">
        <f>ROUND(AH148,AG156)</f>
        <v>2.25</v>
      </c>
      <c r="AK155" s="171"/>
      <c r="AL155" s="151"/>
      <c r="AM155" s="163">
        <f>AM142+AM149</f>
        <v>-73.360080508676162</v>
      </c>
      <c r="AN155" s="163">
        <f>(AM156+(AM154*-1)+AM155)</f>
        <v>-146.72016101735232</v>
      </c>
      <c r="AO155" s="154">
        <f>(AN155/10)</f>
        <v>-14.672016101735233</v>
      </c>
      <c r="AP155" s="154"/>
      <c r="AQ155" s="154">
        <f>((AP151+AN152)/2)*BC155</f>
        <v>1225.6034771755205</v>
      </c>
      <c r="AR155" s="149">
        <f>((AQ150+AN152)/2)*BC155/BC147</f>
        <v>1556.7844682208365</v>
      </c>
      <c r="AS155" s="149"/>
      <c r="AT155" s="149">
        <f>(BC156/2)</f>
        <v>560.44240855950125</v>
      </c>
      <c r="AU155" s="149"/>
      <c r="AV155" s="149"/>
      <c r="AW155" s="149"/>
      <c r="AX155" s="149"/>
      <c r="AY155" s="149"/>
      <c r="AZ155" s="191">
        <f>(BC156/2)/BC147</f>
        <v>622.71378728833474</v>
      </c>
      <c r="BA155" s="152">
        <f>AQ150*BC155/BC147</f>
        <v>2495.5675201441841</v>
      </c>
      <c r="BB155" s="152">
        <f>((AN142+AM145)/2)*BC155/BC147</f>
        <v>1282.3814403433637</v>
      </c>
      <c r="BC155" s="322">
        <f>ROUND(BA148,AZ156)</f>
        <v>4.99</v>
      </c>
      <c r="BD155" s="171"/>
      <c r="BE155" s="151"/>
      <c r="BF155" s="163">
        <f>BF142+BF149</f>
        <v>-73.676856533893101</v>
      </c>
      <c r="BG155" s="163">
        <f>(BF156+(BF154*-1)+BF155)</f>
        <v>-147.3537130677862</v>
      </c>
      <c r="BH155" s="154">
        <f>(BG155/10)</f>
        <v>-14.735371306778621</v>
      </c>
      <c r="BI155" s="154"/>
      <c r="BJ155" s="154">
        <f>((BI151+BG152)/2)*BV155</f>
        <v>694.47534569645711</v>
      </c>
      <c r="BK155" s="149">
        <f>((BJ150+BG152)/2)*BV155/BV147</f>
        <v>1556.7844682208367</v>
      </c>
      <c r="BL155" s="149"/>
      <c r="BM155" s="149">
        <f>(BV156/2)</f>
        <v>317.58403151705073</v>
      </c>
      <c r="BN155" s="149"/>
      <c r="BO155" s="149"/>
      <c r="BP155" s="149"/>
      <c r="BQ155" s="149"/>
      <c r="BR155" s="149"/>
      <c r="BS155" s="191">
        <f>(BV156/2)/BV147</f>
        <v>622.71378728833474</v>
      </c>
      <c r="BT155" s="152">
        <f>BJ150*BV155/BV147</f>
        <v>2495.2978079938189</v>
      </c>
      <c r="BU155" s="152">
        <f>((BG142+BF145)/2)*BV155/BV147</f>
        <v>1282.6451275119387</v>
      </c>
      <c r="BV155" s="322">
        <f>ROUND(BT148,BS156)</f>
        <v>2.83</v>
      </c>
      <c r="BW155" s="171"/>
      <c r="BX155" s="151"/>
      <c r="BY155" s="797"/>
      <c r="BZ155" s="797"/>
      <c r="CA155" s="797"/>
      <c r="CB155" s="797"/>
      <c r="CC155" s="797"/>
      <c r="CD155" s="797"/>
      <c r="CE155" s="797"/>
      <c r="CF155" s="797"/>
      <c r="CG155" s="797"/>
      <c r="CH155" s="797"/>
      <c r="CI155" s="797"/>
      <c r="CJ155" s="797"/>
      <c r="CK155" s="797"/>
      <c r="CL155" s="797"/>
      <c r="CM155" s="797"/>
      <c r="CN155" s="797"/>
      <c r="CO155" s="797"/>
      <c r="CP155" s="797"/>
      <c r="CQ155" s="797"/>
      <c r="CR155" s="797"/>
      <c r="CS155" s="797"/>
      <c r="CT155" s="797"/>
      <c r="CU155" s="797"/>
    </row>
    <row r="156" spans="1:99" x14ac:dyDescent="0.25">
      <c r="A156" s="191">
        <f>(A154+A155)</f>
        <v>-153.91988136259829</v>
      </c>
      <c r="B156" s="149"/>
      <c r="C156" s="162">
        <f>INT(C149)-C149+N156</f>
        <v>1.4798134786224679</v>
      </c>
      <c r="D156" s="149"/>
      <c r="E156" s="191" t="s">
        <v>53</v>
      </c>
      <c r="F156" s="149">
        <f>((O156+B152+E150)/3)*Q155/Q147</f>
        <v>2509.4889284549226</v>
      </c>
      <c r="G156" s="149"/>
      <c r="H156" s="149">
        <f>ROUND(H155,2)</f>
        <v>445.58</v>
      </c>
      <c r="I156" s="149"/>
      <c r="J156" s="149"/>
      <c r="K156" s="149"/>
      <c r="L156" s="149"/>
      <c r="M156" s="149"/>
      <c r="N156" s="149">
        <v>2</v>
      </c>
      <c r="O156" s="152">
        <f>((B142+B152+E150)/3)*Q155/Q147</f>
        <v>1145.5210219829626</v>
      </c>
      <c r="P156" s="191">
        <f>(Q156/Q155)</f>
        <v>224.47371783938846</v>
      </c>
      <c r="Q156" s="152">
        <f>P142*Q147</f>
        <v>891.16065982237217</v>
      </c>
      <c r="R156" s="171"/>
      <c r="S156" s="151"/>
      <c r="T156" s="191">
        <f>(T154+T155)</f>
        <v>-153.76011869731371</v>
      </c>
      <c r="U156" s="149"/>
      <c r="V156" s="162">
        <f>INT(V149)-V149+AG156</f>
        <v>1.5242943567787002</v>
      </c>
      <c r="W156" s="149"/>
      <c r="X156" s="191" t="s">
        <v>53</v>
      </c>
      <c r="Y156" s="149">
        <f>((AH156+U152+X150)/3)*AJ155/AJ147</f>
        <v>2509.6982866109515</v>
      </c>
      <c r="Z156" s="149"/>
      <c r="AA156" s="149">
        <f>ROUND(AA155,2)</f>
        <v>252.5</v>
      </c>
      <c r="AB156" s="149"/>
      <c r="AC156" s="149"/>
      <c r="AD156" s="149"/>
      <c r="AE156" s="149"/>
      <c r="AF156" s="149"/>
      <c r="AG156" s="149">
        <v>2</v>
      </c>
      <c r="AH156" s="152">
        <f>((U142+U152+X150)/3)*AJ155/AJ147</f>
        <v>1145.4936787109905</v>
      </c>
      <c r="AI156" s="191">
        <f>(AJ156/AJ155)</f>
        <v>224.44046247378259</v>
      </c>
      <c r="AJ156" s="152">
        <f>AI142*AJ147</f>
        <v>504.99104056601084</v>
      </c>
      <c r="AK156" s="171"/>
      <c r="AL156" s="151"/>
      <c r="AM156" s="191">
        <f>(AM154+AM155)</f>
        <v>-153.5195740702755</v>
      </c>
      <c r="AN156" s="149"/>
      <c r="AO156" s="162">
        <f>INT(AO149)-AO149+AZ156</f>
        <v>1.6974543564148448</v>
      </c>
      <c r="AP156" s="149"/>
      <c r="AQ156" s="191" t="s">
        <v>53</v>
      </c>
      <c r="AR156" s="149">
        <f>((BA156+AN152+AQ150)/3)*BC155/BC147</f>
        <v>3700.2950092516867</v>
      </c>
      <c r="AS156" s="149"/>
      <c r="AT156" s="149">
        <f>ROUND(AT155,2)</f>
        <v>560.44000000000005</v>
      </c>
      <c r="AU156" s="149"/>
      <c r="AV156" s="149"/>
      <c r="AW156" s="149"/>
      <c r="AX156" s="149"/>
      <c r="AY156" s="149"/>
      <c r="AZ156" s="149">
        <v>2</v>
      </c>
      <c r="BA156" s="152">
        <f>((AN142+AN152+AQ150)/3)*BC155/BC147</f>
        <v>1440.598092621653</v>
      </c>
      <c r="BB156" s="191">
        <f>(BC156/BC155)</f>
        <v>224.6262158555115</v>
      </c>
      <c r="BC156" s="152">
        <f>BB142*BC147</f>
        <v>1120.8848171190025</v>
      </c>
      <c r="BD156" s="171"/>
      <c r="BE156" s="151"/>
      <c r="BF156" s="191">
        <f>(BF154+BF155)</f>
        <v>-153.75867704982136</v>
      </c>
      <c r="BG156" s="149"/>
      <c r="BH156" s="162">
        <f>INT(BH149)-BH149+BS156</f>
        <v>1.5250741136338117</v>
      </c>
      <c r="BI156" s="149"/>
      <c r="BJ156" s="191" t="s">
        <v>53</v>
      </c>
      <c r="BK156" s="149">
        <f>((BT156+BG152+BJ150)/3)*BV155/BV147</f>
        <v>3702.8270625309315</v>
      </c>
      <c r="BL156" s="149"/>
      <c r="BM156" s="149">
        <f>ROUND(BM155,2)</f>
        <v>317.58</v>
      </c>
      <c r="BN156" s="149"/>
      <c r="BO156" s="149"/>
      <c r="BP156" s="149"/>
      <c r="BQ156" s="149"/>
      <c r="BR156" s="149"/>
      <c r="BS156" s="149">
        <v>2</v>
      </c>
      <c r="BT156" s="152">
        <f>((BG142+BG152+BJ150)/3)*BV155/BV147</f>
        <v>1440.7792396067389</v>
      </c>
      <c r="BU156" s="191">
        <f>(BV156/BV155)</f>
        <v>224.44101167282736</v>
      </c>
      <c r="BV156" s="152">
        <f>BU142*BV147</f>
        <v>635.16806303410146</v>
      </c>
      <c r="BW156" s="171"/>
      <c r="BX156" s="151"/>
      <c r="BY156" s="797"/>
      <c r="BZ156" s="797"/>
      <c r="CA156" s="797"/>
      <c r="CB156" s="797"/>
      <c r="CC156" s="797"/>
      <c r="CD156" s="797"/>
      <c r="CE156" s="797"/>
      <c r="CF156" s="797"/>
      <c r="CG156" s="797"/>
      <c r="CH156" s="797"/>
      <c r="CI156" s="797"/>
      <c r="CJ156" s="797"/>
      <c r="CK156" s="797"/>
      <c r="CL156" s="797"/>
      <c r="CM156" s="797"/>
      <c r="CN156" s="797"/>
      <c r="CO156" s="797"/>
      <c r="CP156" s="797"/>
      <c r="CQ156" s="797"/>
      <c r="CR156" s="797"/>
      <c r="CS156" s="797"/>
      <c r="CT156" s="797"/>
      <c r="CU156" s="797"/>
    </row>
    <row r="157" spans="1:99" x14ac:dyDescent="0.25">
      <c r="A157" s="171"/>
      <c r="B157" s="171"/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 t="s">
        <v>54</v>
      </c>
      <c r="Q157" s="171"/>
      <c r="R157" s="171"/>
      <c r="S157" s="151"/>
      <c r="T157" s="171"/>
      <c r="U157" s="171"/>
      <c r="V157" s="171"/>
      <c r="W157" s="171"/>
      <c r="X157" s="171"/>
      <c r="Y157" s="171"/>
      <c r="Z157" s="171"/>
      <c r="AA157" s="171"/>
      <c r="AB157" s="171"/>
      <c r="AC157" s="171"/>
      <c r="AD157" s="171"/>
      <c r="AE157" s="171"/>
      <c r="AF157" s="171"/>
      <c r="AG157" s="171"/>
      <c r="AH157" s="171"/>
      <c r="AI157" s="171" t="s">
        <v>54</v>
      </c>
      <c r="AJ157" s="171"/>
      <c r="AK157" s="171"/>
      <c r="AL157" s="151"/>
      <c r="AM157" s="171"/>
      <c r="AN157" s="171"/>
      <c r="AO157" s="171"/>
      <c r="AP157" s="171"/>
      <c r="AQ157" s="171"/>
      <c r="AR157" s="171"/>
      <c r="AS157" s="171"/>
      <c r="AT157" s="171"/>
      <c r="AU157" s="171"/>
      <c r="AV157" s="171"/>
      <c r="AW157" s="171"/>
      <c r="AX157" s="171"/>
      <c r="AY157" s="171"/>
      <c r="AZ157" s="171"/>
      <c r="BA157" s="171"/>
      <c r="BB157" s="171" t="s">
        <v>54</v>
      </c>
      <c r="BC157" s="171"/>
      <c r="BD157" s="171"/>
      <c r="BE157" s="151"/>
      <c r="BF157" s="171"/>
      <c r="BG157" s="171"/>
      <c r="BH157" s="171"/>
      <c r="BI157" s="171"/>
      <c r="BJ157" s="171"/>
      <c r="BK157" s="171"/>
      <c r="BL157" s="171"/>
      <c r="BM157" s="171"/>
      <c r="BN157" s="171"/>
      <c r="BO157" s="171"/>
      <c r="BP157" s="171"/>
      <c r="BQ157" s="171"/>
      <c r="BR157" s="171"/>
      <c r="BS157" s="171"/>
      <c r="BT157" s="171"/>
      <c r="BU157" s="171" t="s">
        <v>54</v>
      </c>
      <c r="BV157" s="171"/>
      <c r="BW157" s="171"/>
      <c r="BX157" s="151"/>
      <c r="BY157" s="797"/>
      <c r="BZ157" s="797"/>
      <c r="CA157" s="797"/>
      <c r="CB157" s="797"/>
      <c r="CC157" s="797"/>
      <c r="CD157" s="797"/>
      <c r="CE157" s="797"/>
      <c r="CF157" s="797"/>
      <c r="CG157" s="797"/>
      <c r="CH157" s="797"/>
      <c r="CI157" s="797"/>
      <c r="CJ157" s="797"/>
      <c r="CK157" s="797"/>
      <c r="CL157" s="797"/>
      <c r="CM157" s="797"/>
      <c r="CN157" s="797"/>
      <c r="CO157" s="797"/>
      <c r="CP157" s="797"/>
      <c r="CQ157" s="797"/>
      <c r="CR157" s="797"/>
      <c r="CS157" s="797"/>
      <c r="CT157" s="797"/>
      <c r="CU157" s="797"/>
    </row>
    <row r="158" spans="1:99" x14ac:dyDescent="0.25">
      <c r="A158" s="171"/>
      <c r="B158" s="171"/>
      <c r="C158" s="171"/>
      <c r="D158" s="171"/>
      <c r="E158" s="171"/>
      <c r="F158" s="171"/>
      <c r="G158" s="171"/>
      <c r="H158" s="171"/>
      <c r="I158" s="151"/>
      <c r="J158" s="151"/>
      <c r="K158" s="151"/>
      <c r="L158" s="151"/>
      <c r="M158" s="151"/>
      <c r="N158" s="171"/>
      <c r="O158" s="171"/>
      <c r="P158" s="171"/>
      <c r="Q158" s="171"/>
      <c r="R158" s="171"/>
      <c r="S158" s="151"/>
      <c r="T158" s="171"/>
      <c r="U158" s="171"/>
      <c r="V158" s="171"/>
      <c r="W158" s="171"/>
      <c r="X158" s="171"/>
      <c r="Y158" s="171"/>
      <c r="Z158" s="171"/>
      <c r="AA158" s="171"/>
      <c r="AB158" s="151"/>
      <c r="AC158" s="151"/>
      <c r="AD158" s="151"/>
      <c r="AE158" s="151"/>
      <c r="AF158" s="151"/>
      <c r="AG158" s="171"/>
      <c r="AH158" s="171"/>
      <c r="AI158" s="171"/>
      <c r="AJ158" s="171"/>
      <c r="AK158" s="171"/>
      <c r="AL158" s="151"/>
      <c r="AM158" s="171"/>
      <c r="AN158" s="171"/>
      <c r="AO158" s="171"/>
      <c r="AP158" s="171"/>
      <c r="AQ158" s="171"/>
      <c r="AR158" s="171"/>
      <c r="AS158" s="171"/>
      <c r="AT158" s="171"/>
      <c r="AU158" s="151"/>
      <c r="AV158" s="151"/>
      <c r="AW158" s="151"/>
      <c r="AX158" s="151"/>
      <c r="AY158" s="151"/>
      <c r="AZ158" s="171"/>
      <c r="BA158" s="171"/>
      <c r="BB158" s="171"/>
      <c r="BC158" s="171"/>
      <c r="BD158" s="171"/>
      <c r="BE158" s="151"/>
      <c r="BF158" s="171"/>
      <c r="BG158" s="171"/>
      <c r="BH158" s="171"/>
      <c r="BI158" s="171"/>
      <c r="BJ158" s="171"/>
      <c r="BK158" s="171"/>
      <c r="BL158" s="171"/>
      <c r="BM158" s="171"/>
      <c r="BN158" s="151"/>
      <c r="BO158" s="151"/>
      <c r="BP158" s="151"/>
      <c r="BQ158" s="151"/>
      <c r="BR158" s="151"/>
      <c r="BS158" s="171"/>
      <c r="BT158" s="171"/>
      <c r="BU158" s="171"/>
      <c r="BV158" s="171"/>
      <c r="BW158" s="171"/>
      <c r="BX158" s="151"/>
      <c r="BY158" s="797"/>
      <c r="BZ158" s="797"/>
      <c r="CA158" s="797"/>
      <c r="CB158" s="797"/>
      <c r="CC158" s="797"/>
      <c r="CD158" s="797"/>
      <c r="CE158" s="797"/>
      <c r="CF158" s="797"/>
      <c r="CG158" s="797"/>
      <c r="CH158" s="797"/>
      <c r="CI158" s="797"/>
      <c r="CJ158" s="797"/>
      <c r="CK158" s="797"/>
      <c r="CL158" s="797"/>
      <c r="CM158" s="797"/>
      <c r="CN158" s="797"/>
      <c r="CO158" s="797"/>
      <c r="CP158" s="797"/>
      <c r="CQ158" s="797"/>
      <c r="CR158" s="797"/>
      <c r="CS158" s="797"/>
      <c r="CT158" s="797"/>
      <c r="CU158" s="797"/>
    </row>
    <row r="159" spans="1:99" x14ac:dyDescent="0.25">
      <c r="A159" s="171"/>
      <c r="B159" s="171"/>
      <c r="C159" s="171"/>
      <c r="D159" s="171"/>
      <c r="E159" s="171"/>
      <c r="F159" s="171"/>
      <c r="G159" s="171"/>
      <c r="H159" s="171"/>
      <c r="I159" s="151"/>
      <c r="J159" s="151"/>
      <c r="K159" s="151"/>
      <c r="L159" s="151"/>
      <c r="M159" s="151"/>
      <c r="N159" s="171"/>
      <c r="O159" s="171"/>
      <c r="P159" s="171"/>
      <c r="Q159" s="171"/>
      <c r="R159" s="171"/>
      <c r="S159" s="151"/>
      <c r="T159" s="171"/>
      <c r="U159" s="171"/>
      <c r="V159" s="171"/>
      <c r="W159" s="171"/>
      <c r="X159" s="171"/>
      <c r="Y159" s="171"/>
      <c r="Z159" s="171"/>
      <c r="AA159" s="171"/>
      <c r="AB159" s="151"/>
      <c r="AC159" s="151"/>
      <c r="AD159" s="151"/>
      <c r="AE159" s="151"/>
      <c r="AF159" s="151"/>
      <c r="AG159" s="171"/>
      <c r="AH159" s="171"/>
      <c r="AI159" s="171"/>
      <c r="AJ159" s="171"/>
      <c r="AK159" s="171"/>
      <c r="AL159" s="151"/>
      <c r="AM159" s="171"/>
      <c r="AN159" s="171"/>
      <c r="AO159" s="171"/>
      <c r="AP159" s="171"/>
      <c r="AQ159" s="171"/>
      <c r="AR159" s="171"/>
      <c r="AS159" s="171"/>
      <c r="AT159" s="171"/>
      <c r="AU159" s="151"/>
      <c r="AV159" s="151"/>
      <c r="AW159" s="151"/>
      <c r="AX159" s="151"/>
      <c r="AY159" s="151"/>
      <c r="AZ159" s="171"/>
      <c r="BA159" s="171"/>
      <c r="BB159" s="171"/>
      <c r="BC159" s="171"/>
      <c r="BD159" s="171"/>
      <c r="BE159" s="151"/>
      <c r="BF159" s="171"/>
      <c r="BG159" s="171"/>
      <c r="BH159" s="171"/>
      <c r="BI159" s="171"/>
      <c r="BJ159" s="171"/>
      <c r="BK159" s="171"/>
      <c r="BL159" s="171"/>
      <c r="BM159" s="171"/>
      <c r="BN159" s="151"/>
      <c r="BO159" s="151"/>
      <c r="BP159" s="151"/>
      <c r="BQ159" s="151"/>
      <c r="BR159" s="151"/>
      <c r="BS159" s="171"/>
      <c r="BT159" s="171"/>
      <c r="BU159" s="171"/>
      <c r="BV159" s="171"/>
      <c r="BW159" s="171"/>
      <c r="BX159" s="151"/>
      <c r="BY159" s="797"/>
      <c r="BZ159" s="797"/>
      <c r="CA159" s="797"/>
      <c r="CB159" s="797"/>
      <c r="CC159" s="797"/>
      <c r="CD159" s="797"/>
      <c r="CE159" s="797"/>
      <c r="CF159" s="797"/>
      <c r="CG159" s="797"/>
      <c r="CH159" s="797"/>
      <c r="CI159" s="797"/>
      <c r="CJ159" s="797"/>
      <c r="CK159" s="797"/>
      <c r="CL159" s="797"/>
      <c r="CM159" s="797"/>
      <c r="CN159" s="797"/>
      <c r="CO159" s="797"/>
      <c r="CP159" s="797"/>
      <c r="CQ159" s="797"/>
      <c r="CR159" s="797"/>
      <c r="CS159" s="797"/>
      <c r="CT159" s="797"/>
      <c r="CU159" s="797"/>
    </row>
    <row r="160" spans="1:99" x14ac:dyDescent="0.25">
      <c r="A160" s="171"/>
      <c r="B160" s="171"/>
      <c r="C160" s="171"/>
      <c r="D160" s="171"/>
      <c r="E160" s="171"/>
      <c r="F160" s="171"/>
      <c r="G160" s="171"/>
      <c r="H160" s="171"/>
      <c r="I160" s="151"/>
      <c r="J160" s="151"/>
      <c r="K160" s="151"/>
      <c r="L160" s="151"/>
      <c r="M160" s="151"/>
      <c r="N160" s="171"/>
      <c r="O160" s="171"/>
      <c r="P160" s="171"/>
      <c r="Q160" s="171"/>
      <c r="R160" s="171"/>
      <c r="S160" s="151"/>
      <c r="T160" s="171"/>
      <c r="U160" s="171"/>
      <c r="V160" s="171"/>
      <c r="W160" s="171"/>
      <c r="X160" s="171"/>
      <c r="Y160" s="171"/>
      <c r="Z160" s="171"/>
      <c r="AA160" s="171"/>
      <c r="AB160" s="151"/>
      <c r="AC160" s="151"/>
      <c r="AD160" s="151"/>
      <c r="AE160" s="151"/>
      <c r="AF160" s="151"/>
      <c r="AG160" s="171"/>
      <c r="AH160" s="171"/>
      <c r="AI160" s="171"/>
      <c r="AJ160" s="171"/>
      <c r="AK160" s="171"/>
      <c r="AL160" s="151"/>
      <c r="AM160" s="171"/>
      <c r="AN160" s="171"/>
      <c r="AO160" s="171"/>
      <c r="AP160" s="171"/>
      <c r="AQ160" s="171"/>
      <c r="AR160" s="171"/>
      <c r="AS160" s="171"/>
      <c r="AT160" s="171"/>
      <c r="AU160" s="151"/>
      <c r="AV160" s="151"/>
      <c r="AW160" s="151"/>
      <c r="AX160" s="151"/>
      <c r="AY160" s="151"/>
      <c r="AZ160" s="171"/>
      <c r="BA160" s="171"/>
      <c r="BB160" s="171"/>
      <c r="BC160" s="171"/>
      <c r="BD160" s="171"/>
      <c r="BE160" s="151"/>
      <c r="BF160" s="171"/>
      <c r="BG160" s="171"/>
      <c r="BH160" s="171"/>
      <c r="BI160" s="171"/>
      <c r="BJ160" s="171"/>
      <c r="BK160" s="171"/>
      <c r="BL160" s="171"/>
      <c r="BM160" s="171"/>
      <c r="BN160" s="151"/>
      <c r="BO160" s="151"/>
      <c r="BP160" s="151"/>
      <c r="BQ160" s="151"/>
      <c r="BR160" s="151"/>
      <c r="BS160" s="171"/>
      <c r="BT160" s="171"/>
      <c r="BU160" s="171"/>
      <c r="BV160" s="171"/>
      <c r="BW160" s="171"/>
      <c r="BX160" s="151"/>
      <c r="BY160" s="797"/>
      <c r="BZ160" s="797"/>
      <c r="CA160" s="797"/>
      <c r="CB160" s="797"/>
      <c r="CC160" s="797"/>
      <c r="CD160" s="797"/>
      <c r="CE160" s="797"/>
      <c r="CF160" s="797"/>
      <c r="CG160" s="797"/>
      <c r="CH160" s="797"/>
      <c r="CI160" s="797"/>
      <c r="CJ160" s="797"/>
      <c r="CK160" s="797"/>
      <c r="CL160" s="797"/>
      <c r="CM160" s="797"/>
      <c r="CN160" s="797"/>
      <c r="CO160" s="797"/>
      <c r="CP160" s="797"/>
      <c r="CQ160" s="797"/>
      <c r="CR160" s="797"/>
      <c r="CS160" s="797"/>
      <c r="CT160" s="797"/>
      <c r="CU160" s="797"/>
    </row>
    <row r="161" spans="1:99" x14ac:dyDescent="0.25">
      <c r="A161" s="171"/>
      <c r="B161" s="171"/>
      <c r="C161" s="171"/>
      <c r="D161" s="171"/>
      <c r="E161" s="171"/>
      <c r="F161" s="171"/>
      <c r="G161" s="171"/>
      <c r="H161" s="171"/>
      <c r="I161" s="151"/>
      <c r="J161" s="151"/>
      <c r="K161" s="151"/>
      <c r="L161" s="151"/>
      <c r="M161" s="151"/>
      <c r="N161" s="171"/>
      <c r="O161" s="171"/>
      <c r="P161" s="171"/>
      <c r="Q161" s="171"/>
      <c r="R161" s="171"/>
      <c r="S161" s="151"/>
      <c r="T161" s="171"/>
      <c r="U161" s="171"/>
      <c r="V161" s="171"/>
      <c r="W161" s="171"/>
      <c r="X161" s="171"/>
      <c r="Y161" s="171"/>
      <c r="Z161" s="171"/>
      <c r="AA161" s="171"/>
      <c r="AB161" s="151"/>
      <c r="AC161" s="151"/>
      <c r="AD161" s="151"/>
      <c r="AE161" s="151"/>
      <c r="AF161" s="151"/>
      <c r="AG161" s="171"/>
      <c r="AH161" s="171"/>
      <c r="AI161" s="171"/>
      <c r="AJ161" s="171"/>
      <c r="AK161" s="171"/>
      <c r="AL161" s="151"/>
      <c r="AM161" s="171"/>
      <c r="AN161" s="171"/>
      <c r="AO161" s="171"/>
      <c r="AP161" s="171"/>
      <c r="AQ161" s="171"/>
      <c r="AR161" s="171"/>
      <c r="AS161" s="171"/>
      <c r="AT161" s="171"/>
      <c r="AU161" s="151"/>
      <c r="AV161" s="151"/>
      <c r="AW161" s="151"/>
      <c r="AX161" s="151"/>
      <c r="AY161" s="151"/>
      <c r="AZ161" s="171"/>
      <c r="BA161" s="171"/>
      <c r="BB161" s="171"/>
      <c r="BC161" s="171"/>
      <c r="BD161" s="171"/>
      <c r="BE161" s="151"/>
      <c r="BF161" s="171"/>
      <c r="BG161" s="171"/>
      <c r="BH161" s="171"/>
      <c r="BI161" s="171"/>
      <c r="BJ161" s="171"/>
      <c r="BK161" s="171"/>
      <c r="BL161" s="171"/>
      <c r="BM161" s="171"/>
      <c r="BN161" s="151"/>
      <c r="BO161" s="151"/>
      <c r="BP161" s="151"/>
      <c r="BQ161" s="151"/>
      <c r="BR161" s="151"/>
      <c r="BS161" s="171"/>
      <c r="BT161" s="171"/>
      <c r="BU161" s="171"/>
      <c r="BV161" s="171"/>
      <c r="BW161" s="171"/>
      <c r="BX161" s="151"/>
      <c r="BY161" s="797"/>
      <c r="BZ161" s="797"/>
      <c r="CA161" s="797"/>
      <c r="CB161" s="797"/>
      <c r="CC161" s="797"/>
      <c r="CD161" s="797"/>
      <c r="CE161" s="797"/>
      <c r="CF161" s="797"/>
      <c r="CG161" s="797"/>
      <c r="CH161" s="797"/>
      <c r="CI161" s="797"/>
      <c r="CJ161" s="797"/>
      <c r="CK161" s="797"/>
      <c r="CL161" s="797"/>
      <c r="CM161" s="797"/>
      <c r="CN161" s="797"/>
      <c r="CO161" s="797"/>
      <c r="CP161" s="797"/>
      <c r="CQ161" s="797"/>
      <c r="CR161" s="797"/>
      <c r="CS161" s="797"/>
      <c r="CT161" s="797"/>
      <c r="CU161" s="797"/>
    </row>
    <row r="162" spans="1:99" x14ac:dyDescent="0.25">
      <c r="A162" s="171"/>
      <c r="B162" s="171"/>
      <c r="C162" s="171"/>
      <c r="D162" s="171"/>
      <c r="E162" s="171"/>
      <c r="F162" s="171"/>
      <c r="G162" s="171"/>
      <c r="H162" s="171"/>
      <c r="I162" s="151"/>
      <c r="J162" s="151"/>
      <c r="K162" s="151"/>
      <c r="L162" s="151"/>
      <c r="M162" s="151"/>
      <c r="N162" s="171"/>
      <c r="O162" s="171"/>
      <c r="P162" s="171"/>
      <c r="Q162" s="171"/>
      <c r="R162" s="171"/>
      <c r="S162" s="151"/>
      <c r="T162" s="171"/>
      <c r="U162" s="171"/>
      <c r="V162" s="171"/>
      <c r="W162" s="171"/>
      <c r="X162" s="171"/>
      <c r="Y162" s="171"/>
      <c r="Z162" s="171"/>
      <c r="AA162" s="171"/>
      <c r="AB162" s="151"/>
      <c r="AC162" s="151"/>
      <c r="AD162" s="151"/>
      <c r="AE162" s="151"/>
      <c r="AF162" s="151"/>
      <c r="AG162" s="171"/>
      <c r="AH162" s="171"/>
      <c r="AI162" s="171"/>
      <c r="AJ162" s="171"/>
      <c r="AK162" s="171"/>
      <c r="AL162" s="151"/>
      <c r="AM162" s="171"/>
      <c r="AN162" s="171"/>
      <c r="AO162" s="171"/>
      <c r="AP162" s="171"/>
      <c r="AQ162" s="171"/>
      <c r="AR162" s="171"/>
      <c r="AS162" s="171"/>
      <c r="AT162" s="171"/>
      <c r="AU162" s="151"/>
      <c r="AV162" s="151"/>
      <c r="AW162" s="151"/>
      <c r="AX162" s="151"/>
      <c r="AY162" s="151"/>
      <c r="AZ162" s="171"/>
      <c r="BA162" s="171"/>
      <c r="BB162" s="171"/>
      <c r="BC162" s="171"/>
      <c r="BD162" s="171"/>
      <c r="BE162" s="151"/>
      <c r="BF162" s="171"/>
      <c r="BG162" s="171"/>
      <c r="BH162" s="171"/>
      <c r="BI162" s="171"/>
      <c r="BJ162" s="171"/>
      <c r="BK162" s="171"/>
      <c r="BL162" s="171"/>
      <c r="BM162" s="171"/>
      <c r="BN162" s="151"/>
      <c r="BO162" s="151"/>
      <c r="BP162" s="151"/>
      <c r="BQ162" s="151"/>
      <c r="BR162" s="151"/>
      <c r="BS162" s="171"/>
      <c r="BT162" s="171"/>
      <c r="BU162" s="171"/>
      <c r="BV162" s="171"/>
      <c r="BW162" s="171"/>
      <c r="BX162" s="151"/>
      <c r="BY162" s="797"/>
      <c r="BZ162" s="797"/>
      <c r="CA162" s="797"/>
      <c r="CB162" s="797"/>
      <c r="CC162" s="797"/>
      <c r="CD162" s="797"/>
      <c r="CE162" s="797"/>
      <c r="CF162" s="797"/>
      <c r="CG162" s="797"/>
      <c r="CH162" s="797"/>
      <c r="CI162" s="797"/>
      <c r="CJ162" s="797"/>
      <c r="CK162" s="797"/>
      <c r="CL162" s="797"/>
      <c r="CM162" s="797"/>
      <c r="CN162" s="797"/>
      <c r="CO162" s="797"/>
      <c r="CP162" s="797"/>
      <c r="CQ162" s="797"/>
      <c r="CR162" s="797"/>
      <c r="CS162" s="797"/>
      <c r="CT162" s="797"/>
      <c r="CU162" s="797"/>
    </row>
    <row r="163" spans="1:99" x14ac:dyDescent="0.25">
      <c r="A163" s="171"/>
      <c r="B163" s="171"/>
      <c r="C163" s="171"/>
      <c r="D163" s="171"/>
      <c r="E163" s="171"/>
      <c r="F163" s="171"/>
      <c r="G163" s="171"/>
      <c r="H163" s="171"/>
      <c r="I163" s="151"/>
      <c r="J163" s="151"/>
      <c r="K163" s="151"/>
      <c r="L163" s="151"/>
      <c r="M163" s="151"/>
      <c r="N163" s="171"/>
      <c r="O163" s="171"/>
      <c r="P163" s="171"/>
      <c r="Q163" s="171"/>
      <c r="R163" s="171"/>
      <c r="S163" s="151"/>
      <c r="T163" s="171"/>
      <c r="U163" s="171"/>
      <c r="V163" s="171"/>
      <c r="W163" s="171"/>
      <c r="X163" s="171"/>
      <c r="Y163" s="171"/>
      <c r="Z163" s="171"/>
      <c r="AA163" s="171"/>
      <c r="AB163" s="151"/>
      <c r="AC163" s="151"/>
      <c r="AD163" s="151"/>
      <c r="AE163" s="151"/>
      <c r="AF163" s="151"/>
      <c r="AG163" s="171"/>
      <c r="AH163" s="171"/>
      <c r="AI163" s="171"/>
      <c r="AJ163" s="171"/>
      <c r="AK163" s="171"/>
      <c r="AL163" s="151"/>
      <c r="AM163" s="171"/>
      <c r="AN163" s="171"/>
      <c r="AO163" s="171"/>
      <c r="AP163" s="171"/>
      <c r="AQ163" s="171"/>
      <c r="AR163" s="171"/>
      <c r="AS163" s="171"/>
      <c r="AT163" s="171"/>
      <c r="AU163" s="151"/>
      <c r="AV163" s="151"/>
      <c r="AW163" s="151"/>
      <c r="AX163" s="151"/>
      <c r="AY163" s="151"/>
      <c r="AZ163" s="171"/>
      <c r="BA163" s="171"/>
      <c r="BB163" s="171"/>
      <c r="BC163" s="171"/>
      <c r="BD163" s="171"/>
      <c r="BE163" s="151"/>
      <c r="BF163" s="171"/>
      <c r="BG163" s="171"/>
      <c r="BH163" s="171"/>
      <c r="BI163" s="171"/>
      <c r="BJ163" s="171"/>
      <c r="BK163" s="171"/>
      <c r="BL163" s="171"/>
      <c r="BM163" s="171"/>
      <c r="BN163" s="151"/>
      <c r="BO163" s="151"/>
      <c r="BP163" s="151"/>
      <c r="BQ163" s="151"/>
      <c r="BR163" s="151"/>
      <c r="BS163" s="171"/>
      <c r="BT163" s="171"/>
      <c r="BU163" s="171"/>
      <c r="BV163" s="171"/>
      <c r="BW163" s="171"/>
      <c r="BX163" s="151"/>
      <c r="BY163" s="797"/>
      <c r="BZ163" s="797"/>
      <c r="CA163" s="797"/>
      <c r="CB163" s="797"/>
      <c r="CC163" s="797"/>
      <c r="CD163" s="797"/>
      <c r="CE163" s="797"/>
      <c r="CF163" s="797"/>
      <c r="CG163" s="797"/>
      <c r="CH163" s="797"/>
      <c r="CI163" s="797"/>
      <c r="CJ163" s="797"/>
      <c r="CK163" s="797"/>
      <c r="CL163" s="797"/>
      <c r="CM163" s="797"/>
      <c r="CN163" s="797"/>
      <c r="CO163" s="797"/>
      <c r="CP163" s="797"/>
      <c r="CQ163" s="797"/>
      <c r="CR163" s="797"/>
      <c r="CS163" s="797"/>
      <c r="CT163" s="797"/>
      <c r="CU163" s="797"/>
    </row>
    <row r="164" spans="1:99" x14ac:dyDescent="0.25">
      <c r="A164" s="171"/>
      <c r="B164" s="171"/>
      <c r="C164" s="171"/>
      <c r="D164" s="171"/>
      <c r="E164" s="171"/>
      <c r="F164" s="171"/>
      <c r="G164" s="171"/>
      <c r="H164" s="171"/>
      <c r="I164" s="151"/>
      <c r="J164" s="151"/>
      <c r="K164" s="151"/>
      <c r="L164" s="151"/>
      <c r="M164" s="151"/>
      <c r="N164" s="171"/>
      <c r="O164" s="171"/>
      <c r="P164" s="171"/>
      <c r="Q164" s="171"/>
      <c r="R164" s="171"/>
      <c r="S164" s="151"/>
      <c r="T164" s="171"/>
      <c r="U164" s="171"/>
      <c r="V164" s="171"/>
      <c r="W164" s="171"/>
      <c r="X164" s="171"/>
      <c r="Y164" s="171"/>
      <c r="Z164" s="171"/>
      <c r="AA164" s="171"/>
      <c r="AB164" s="151"/>
      <c r="AC164" s="151"/>
      <c r="AD164" s="151"/>
      <c r="AE164" s="151"/>
      <c r="AF164" s="151"/>
      <c r="AG164" s="171"/>
      <c r="AH164" s="171"/>
      <c r="AI164" s="171"/>
      <c r="AJ164" s="171"/>
      <c r="AK164" s="171"/>
      <c r="AL164" s="151"/>
      <c r="AM164" s="171"/>
      <c r="AN164" s="171"/>
      <c r="AO164" s="171"/>
      <c r="AP164" s="171"/>
      <c r="AQ164" s="171"/>
      <c r="AR164" s="171"/>
      <c r="AS164" s="171"/>
      <c r="AT164" s="171"/>
      <c r="AU164" s="151"/>
      <c r="AV164" s="151"/>
      <c r="AW164" s="151"/>
      <c r="AX164" s="151"/>
      <c r="AY164" s="151"/>
      <c r="AZ164" s="171"/>
      <c r="BA164" s="171"/>
      <c r="BB164" s="171"/>
      <c r="BC164" s="171"/>
      <c r="BD164" s="171"/>
      <c r="BE164" s="151"/>
      <c r="BF164" s="171"/>
      <c r="BG164" s="171"/>
      <c r="BH164" s="171"/>
      <c r="BI164" s="171"/>
      <c r="BJ164" s="171"/>
      <c r="BK164" s="171"/>
      <c r="BL164" s="171"/>
      <c r="BM164" s="171"/>
      <c r="BN164" s="151"/>
      <c r="BO164" s="151"/>
      <c r="BP164" s="151"/>
      <c r="BQ164" s="151"/>
      <c r="BR164" s="151"/>
      <c r="BS164" s="171"/>
      <c r="BT164" s="171"/>
      <c r="BU164" s="171"/>
      <c r="BV164" s="171"/>
      <c r="BW164" s="171"/>
      <c r="BX164" s="151"/>
      <c r="BY164" s="797"/>
      <c r="BZ164" s="797"/>
      <c r="CA164" s="797"/>
      <c r="CB164" s="797"/>
      <c r="CC164" s="797"/>
      <c r="CD164" s="797"/>
      <c r="CE164" s="797"/>
      <c r="CF164" s="797"/>
      <c r="CG164" s="797"/>
      <c r="CH164" s="797"/>
      <c r="CI164" s="797"/>
      <c r="CJ164" s="797"/>
      <c r="CK164" s="797"/>
      <c r="CL164" s="797"/>
      <c r="CM164" s="797"/>
      <c r="CN164" s="797"/>
      <c r="CO164" s="797"/>
      <c r="CP164" s="797"/>
      <c r="CQ164" s="797"/>
      <c r="CR164" s="797"/>
      <c r="CS164" s="797"/>
      <c r="CT164" s="797"/>
      <c r="CU164" s="797"/>
    </row>
    <row r="165" spans="1:99" x14ac:dyDescent="0.25">
      <c r="A165" s="171"/>
      <c r="B165" s="171"/>
      <c r="C165" s="171"/>
      <c r="D165" s="171"/>
      <c r="E165" s="171"/>
      <c r="F165" s="171"/>
      <c r="G165" s="171"/>
      <c r="H165" s="171"/>
      <c r="I165" s="151"/>
      <c r="J165" s="151"/>
      <c r="K165" s="151"/>
      <c r="L165" s="151"/>
      <c r="M165" s="151"/>
      <c r="N165" s="171"/>
      <c r="O165" s="171"/>
      <c r="P165" s="171"/>
      <c r="Q165" s="171"/>
      <c r="R165" s="171"/>
      <c r="S165" s="151"/>
      <c r="T165" s="171"/>
      <c r="U165" s="171"/>
      <c r="V165" s="171"/>
      <c r="W165" s="171"/>
      <c r="X165" s="171"/>
      <c r="Y165" s="171"/>
      <c r="Z165" s="171"/>
      <c r="AA165" s="171"/>
      <c r="AB165" s="151"/>
      <c r="AC165" s="151"/>
      <c r="AD165" s="151"/>
      <c r="AE165" s="151"/>
      <c r="AF165" s="151"/>
      <c r="AG165" s="171"/>
      <c r="AH165" s="171"/>
      <c r="AI165" s="171"/>
      <c r="AJ165" s="171"/>
      <c r="AK165" s="171"/>
      <c r="AL165" s="151"/>
      <c r="AM165" s="171"/>
      <c r="AN165" s="171"/>
      <c r="AO165" s="171"/>
      <c r="AP165" s="171"/>
      <c r="AQ165" s="171"/>
      <c r="AR165" s="171"/>
      <c r="AS165" s="171"/>
      <c r="AT165" s="171"/>
      <c r="AU165" s="151"/>
      <c r="AV165" s="151"/>
      <c r="AW165" s="151"/>
      <c r="AX165" s="151"/>
      <c r="AY165" s="151"/>
      <c r="AZ165" s="171"/>
      <c r="BA165" s="171"/>
      <c r="BB165" s="171"/>
      <c r="BC165" s="171"/>
      <c r="BD165" s="171"/>
      <c r="BE165" s="151"/>
      <c r="BF165" s="171"/>
      <c r="BG165" s="171"/>
      <c r="BH165" s="171"/>
      <c r="BI165" s="171"/>
      <c r="BJ165" s="171"/>
      <c r="BK165" s="171"/>
      <c r="BL165" s="171"/>
      <c r="BM165" s="171"/>
      <c r="BN165" s="151"/>
      <c r="BO165" s="151"/>
      <c r="BP165" s="151"/>
      <c r="BQ165" s="151"/>
      <c r="BR165" s="151"/>
      <c r="BS165" s="171"/>
      <c r="BT165" s="171"/>
      <c r="BU165" s="171"/>
      <c r="BV165" s="171"/>
      <c r="BW165" s="171"/>
      <c r="BX165" s="151"/>
      <c r="BY165" s="797"/>
      <c r="BZ165" s="797"/>
      <c r="CA165" s="797"/>
      <c r="CB165" s="797"/>
      <c r="CC165" s="797"/>
      <c r="CD165" s="797"/>
      <c r="CE165" s="797"/>
      <c r="CF165" s="797"/>
      <c r="CG165" s="797"/>
      <c r="CH165" s="797"/>
      <c r="CI165" s="797"/>
      <c r="CJ165" s="797"/>
      <c r="CK165" s="797"/>
      <c r="CL165" s="797"/>
      <c r="CM165" s="797"/>
      <c r="CN165" s="797"/>
      <c r="CO165" s="797"/>
      <c r="CP165" s="797"/>
      <c r="CQ165" s="797"/>
      <c r="CR165" s="797"/>
      <c r="CS165" s="797"/>
      <c r="CT165" s="797"/>
      <c r="CU165" s="797"/>
    </row>
    <row r="166" spans="1:99" x14ac:dyDescent="0.25">
      <c r="A166" s="152">
        <f>P181</f>
        <v>224.70011594109232</v>
      </c>
      <c r="B166" s="154">
        <f>(A166*10^0.125)</f>
        <v>299.64242041703039</v>
      </c>
      <c r="C166" s="154">
        <f>INT(B166)</f>
        <v>299</v>
      </c>
      <c r="D166" s="154">
        <f>C166*4</f>
        <v>1196</v>
      </c>
      <c r="E166" s="154">
        <f>D166/5</f>
        <v>239.2</v>
      </c>
      <c r="F166" s="149">
        <f>E166^2</f>
        <v>57216.639999999992</v>
      </c>
      <c r="G166" s="149">
        <f>(F166^0.125)</f>
        <v>3.9326952517764404</v>
      </c>
      <c r="H166" s="149">
        <f>G166/3</f>
        <v>1.3108984172588134</v>
      </c>
      <c r="I166" s="149">
        <f>(H166*100)</f>
        <v>131.08984172588134</v>
      </c>
      <c r="J166" s="149">
        <f>(F166/100)</f>
        <v>572.16639999999995</v>
      </c>
      <c r="K166" s="149">
        <f>(J166+I166)/2</f>
        <v>351.62812086294065</v>
      </c>
      <c r="L166" s="149">
        <f>(K166+I166)/2</f>
        <v>241.358981294411</v>
      </c>
      <c r="M166" s="149">
        <f>(L166+A166)/2</f>
        <v>233.02954861775166</v>
      </c>
      <c r="N166" s="149">
        <f>M166*100^0.5</f>
        <v>2330.2954861775165</v>
      </c>
      <c r="O166" s="149">
        <f>INT(N166)/10</f>
        <v>233</v>
      </c>
      <c r="P166" s="149">
        <f>(O166)^2/10000</f>
        <v>5.4288999999999996</v>
      </c>
      <c r="Q166" s="149">
        <f>(P166+I166+M166)/3</f>
        <v>123.18276344787766</v>
      </c>
      <c r="R166" s="150">
        <f>Q171^0.5</f>
        <v>31.927371044724204</v>
      </c>
      <c r="S166" s="151"/>
      <c r="T166" s="152">
        <f>AI181</f>
        <v>224.74011596173159</v>
      </c>
      <c r="U166" s="154">
        <f>(T166*10^0.125)</f>
        <v>299.69576130183981</v>
      </c>
      <c r="V166" s="154">
        <f>INT(U166)</f>
        <v>299</v>
      </c>
      <c r="W166" s="154">
        <f>V166*4</f>
        <v>1196</v>
      </c>
      <c r="X166" s="154">
        <f>W166/5</f>
        <v>239.2</v>
      </c>
      <c r="Y166" s="149">
        <f>X166^2</f>
        <v>57216.639999999992</v>
      </c>
      <c r="Z166" s="149">
        <f>(Y166^0.125)</f>
        <v>3.9326952517764404</v>
      </c>
      <c r="AA166" s="149">
        <f>Z166/3</f>
        <v>1.3108984172588134</v>
      </c>
      <c r="AB166" s="149">
        <f>(AA166*100)</f>
        <v>131.08984172588134</v>
      </c>
      <c r="AC166" s="149">
        <f>(Y166/100)</f>
        <v>572.16639999999995</v>
      </c>
      <c r="AD166" s="149">
        <f>(AC166+AB166)/2</f>
        <v>351.62812086294065</v>
      </c>
      <c r="AE166" s="149">
        <f>(AD166+AB166)/2</f>
        <v>241.358981294411</v>
      </c>
      <c r="AF166" s="149">
        <f>(AE166+T166)/2</f>
        <v>233.04954862807131</v>
      </c>
      <c r="AG166" s="149">
        <f>AF166*100^0.5</f>
        <v>2330.4954862807131</v>
      </c>
      <c r="AH166" s="149">
        <f>INT(AG166)/10</f>
        <v>233</v>
      </c>
      <c r="AI166" s="149">
        <f>(AH166)^2/10000</f>
        <v>5.4288999999999996</v>
      </c>
      <c r="AJ166" s="149">
        <f>(AI166+AB166+AF166)/3</f>
        <v>123.18943011798422</v>
      </c>
      <c r="AK166" s="150">
        <f>AJ171^0.5</f>
        <v>31.927371044724204</v>
      </c>
      <c r="AL166" s="151"/>
      <c r="AM166" s="152">
        <f>BB181</f>
        <v>224.71628250180481</v>
      </c>
      <c r="AN166" s="154">
        <f>(AM166*10^0.125)</f>
        <v>299.66397887222485</v>
      </c>
      <c r="AO166" s="154">
        <f>INT(AN166)</f>
        <v>299</v>
      </c>
      <c r="AP166" s="154">
        <f>AO166*4</f>
        <v>1196</v>
      </c>
      <c r="AQ166" s="154">
        <f>AP166/5</f>
        <v>239.2</v>
      </c>
      <c r="AR166" s="149">
        <f>AQ166^2</f>
        <v>57216.639999999992</v>
      </c>
      <c r="AS166" s="149">
        <f>(AR166^0.125)</f>
        <v>3.9326952517764404</v>
      </c>
      <c r="AT166" s="149">
        <f>AS166/3</f>
        <v>1.3108984172588134</v>
      </c>
      <c r="AU166" s="149">
        <f>(AT166*100)</f>
        <v>131.08984172588134</v>
      </c>
      <c r="AV166" s="149">
        <f>(AR166/100)</f>
        <v>572.16639999999995</v>
      </c>
      <c r="AW166" s="149">
        <f>(AV166+AU166)/2</f>
        <v>351.62812086294065</v>
      </c>
      <c r="AX166" s="149">
        <f>(AW166+AU166)/2</f>
        <v>241.358981294411</v>
      </c>
      <c r="AY166" s="149">
        <f>(AX166+AM166)/2</f>
        <v>233.03763189810792</v>
      </c>
      <c r="AZ166" s="149">
        <f>AY166*100^0.5</f>
        <v>2330.3763189810793</v>
      </c>
      <c r="BA166" s="149">
        <f>INT(AZ166)/10</f>
        <v>233</v>
      </c>
      <c r="BB166" s="149">
        <f>(BA166)^2/10000</f>
        <v>5.4288999999999996</v>
      </c>
      <c r="BC166" s="149">
        <f>(BB166+AU166+AY166)/3</f>
        <v>123.18545787466309</v>
      </c>
      <c r="BD166" s="150">
        <f>BC171^0.5</f>
        <v>35.578858176638263</v>
      </c>
      <c r="BE166" s="151"/>
      <c r="BF166" s="152">
        <f>BU181</f>
        <v>224.75869180258366</v>
      </c>
      <c r="BG166" s="154">
        <f>(BF166*10^0.125)</f>
        <v>299.72053258373649</v>
      </c>
      <c r="BH166" s="154">
        <f>INT(BG166)</f>
        <v>299</v>
      </c>
      <c r="BI166" s="154">
        <f>BH166*4</f>
        <v>1196</v>
      </c>
      <c r="BJ166" s="154">
        <f>BI166/5</f>
        <v>239.2</v>
      </c>
      <c r="BK166" s="149">
        <f>BJ166^2</f>
        <v>57216.639999999992</v>
      </c>
      <c r="BL166" s="149">
        <f>(BK166^0.125)</f>
        <v>3.9326952517764404</v>
      </c>
      <c r="BM166" s="149">
        <f>BL166/3</f>
        <v>1.3108984172588134</v>
      </c>
      <c r="BN166" s="149">
        <f>(BM166*100)</f>
        <v>131.08984172588134</v>
      </c>
      <c r="BO166" s="149">
        <f>(BK166/100)</f>
        <v>572.16639999999995</v>
      </c>
      <c r="BP166" s="149">
        <f>(BO166+BN166)/2</f>
        <v>351.62812086294065</v>
      </c>
      <c r="BQ166" s="149">
        <f>(BP166+BN166)/2</f>
        <v>241.358981294411</v>
      </c>
      <c r="BR166" s="149">
        <f>(BQ166+BF166)/2</f>
        <v>233.05883654849731</v>
      </c>
      <c r="BS166" s="149">
        <f>BR166*100^0.5</f>
        <v>2330.5883654849731</v>
      </c>
      <c r="BT166" s="149">
        <f>INT(BS166)/10</f>
        <v>233</v>
      </c>
      <c r="BU166" s="149">
        <f>(BT166)^2/10000</f>
        <v>5.4288999999999996</v>
      </c>
      <c r="BV166" s="149">
        <f>(BU166+BN166+BR166)/3</f>
        <v>123.19252609145956</v>
      </c>
      <c r="BW166" s="150">
        <f>BV171^0.5</f>
        <v>35.578858176638263</v>
      </c>
      <c r="BX166" s="151"/>
      <c r="BY166" s="797"/>
      <c r="BZ166" s="797"/>
      <c r="CA166" s="797"/>
      <c r="CB166" s="797"/>
      <c r="CC166" s="797"/>
      <c r="CD166" s="797"/>
      <c r="CE166" s="797"/>
      <c r="CF166" s="797"/>
      <c r="CG166" s="797"/>
      <c r="CH166" s="797"/>
      <c r="CI166" s="797"/>
      <c r="CJ166" s="797"/>
      <c r="CK166" s="797"/>
      <c r="CL166" s="797"/>
      <c r="CM166" s="797"/>
      <c r="CN166" s="797"/>
      <c r="CO166" s="797"/>
      <c r="CP166" s="797"/>
      <c r="CQ166" s="797"/>
      <c r="CR166" s="797"/>
      <c r="CS166" s="797"/>
      <c r="CT166" s="797"/>
      <c r="CU166" s="797"/>
    </row>
    <row r="167" spans="1:99" x14ac:dyDescent="0.25">
      <c r="A167" s="163">
        <f>(O168-O167)</f>
        <v>3.4230164101816172</v>
      </c>
      <c r="B167" s="154">
        <f>(B168+A169)/2</f>
        <v>217.97552444956438</v>
      </c>
      <c r="C167" s="164">
        <f>(D169*C169*B169*C168*D168*A167)</f>
        <v>8423269034083.7041</v>
      </c>
      <c r="D167" s="154">
        <f>(C168*C167*A167)</f>
        <v>9639242285.6646824</v>
      </c>
      <c r="E167" s="163">
        <f>INT(A167+1)</f>
        <v>4</v>
      </c>
      <c r="F167" s="165">
        <f>(Q179*-1)</f>
        <v>1598.3365733541821</v>
      </c>
      <c r="G167" s="161"/>
      <c r="H167" s="152">
        <f>IF(F167&lt;0,1,-1)</f>
        <v>-1</v>
      </c>
      <c r="I167" s="161"/>
      <c r="J167" s="161"/>
      <c r="K167" s="161"/>
      <c r="L167" s="161"/>
      <c r="M167" s="161"/>
      <c r="N167" s="161">
        <f>(M166+O166)/2</f>
        <v>233.01477430887581</v>
      </c>
      <c r="O167" s="161">
        <f>N167-A166</f>
        <v>8.314658367783494</v>
      </c>
      <c r="P167" s="161">
        <f>(Q171+R169)/2</f>
        <v>990.17851091374678</v>
      </c>
      <c r="Q167" s="162">
        <f>(Q170*A167*100)</f>
        <v>-655.26376146009534</v>
      </c>
      <c r="R167" s="150">
        <f>INT(R166)</f>
        <v>31</v>
      </c>
      <c r="S167" s="151"/>
      <c r="T167" s="163">
        <f>(AH168-AH167)</f>
        <v>3.4855164424304519</v>
      </c>
      <c r="U167" s="154">
        <f>(U168+T169)/2</f>
        <v>217.9836494537567</v>
      </c>
      <c r="V167" s="164">
        <f>(W169*V169*U169*V168*W168*T167)</f>
        <v>10279843017855.186</v>
      </c>
      <c r="W167" s="154">
        <f>(V168*V167*T167)</f>
        <v>11474058595.800299</v>
      </c>
      <c r="X167" s="163">
        <f>INT(T167+1)</f>
        <v>4</v>
      </c>
      <c r="Y167" s="165">
        <f>(AJ179*-1)</f>
        <v>1105.5334332480684</v>
      </c>
      <c r="Z167" s="161"/>
      <c r="AA167" s="152">
        <f>IF(Y167&lt;0,1,-1)</f>
        <v>-1</v>
      </c>
      <c r="AB167" s="161"/>
      <c r="AC167" s="161"/>
      <c r="AD167" s="161"/>
      <c r="AE167" s="161"/>
      <c r="AF167" s="161"/>
      <c r="AG167" s="161">
        <f>(AF166+AH166)/2</f>
        <v>233.02477431403565</v>
      </c>
      <c r="AH167" s="161">
        <f>AG167-T166</f>
        <v>8.2846583523040636</v>
      </c>
      <c r="AI167" s="161">
        <f>(AJ171+AK169)/2</f>
        <v>990.17851091374678</v>
      </c>
      <c r="AJ167" s="162">
        <f>(AJ170*T167*100)</f>
        <v>-691.53933363431111</v>
      </c>
      <c r="AK167" s="150">
        <f>INT(AK166)</f>
        <v>31</v>
      </c>
      <c r="AL167" s="151"/>
      <c r="AM167" s="163">
        <f>(BA168-BA167)</f>
        <v>3.448276661294841</v>
      </c>
      <c r="AN167" s="154">
        <f>(AN168+AM169)/2</f>
        <v>217.97880828220912</v>
      </c>
      <c r="AO167" s="164">
        <f>(AP169*AO169*AN169*AO168*AP168*AM167)</f>
        <v>9133017748655.7383</v>
      </c>
      <c r="AP167" s="154">
        <f>(AO168*AO167*AM167)</f>
        <v>10346187954.010071</v>
      </c>
      <c r="AQ167" s="163">
        <f>INT(AM167+1)</f>
        <v>4</v>
      </c>
      <c r="AR167" s="165">
        <f>(BC179*-1)</f>
        <v>2180.5265263030724</v>
      </c>
      <c r="AS167" s="161"/>
      <c r="AT167" s="152">
        <f>IF(AR167&lt;0,1,-1)</f>
        <v>-1</v>
      </c>
      <c r="AU167" s="161"/>
      <c r="AV167" s="161"/>
      <c r="AW167" s="161"/>
      <c r="AX167" s="161"/>
      <c r="AY167" s="161"/>
      <c r="AZ167" s="161">
        <f>(AY166+BA166)/2</f>
        <v>233.01881594905396</v>
      </c>
      <c r="BA167" s="161">
        <f>AZ167-AM166</f>
        <v>8.3025334472491465</v>
      </c>
      <c r="BB167" s="161">
        <f>(BC171+BD169)/2</f>
        <v>1245.4275745766695</v>
      </c>
      <c r="BC167" s="162">
        <f>(BC170*AM167*100)</f>
        <v>-669.80489567443863</v>
      </c>
      <c r="BD167" s="150">
        <f>INT(BD166)</f>
        <v>35</v>
      </c>
      <c r="BE167" s="151"/>
      <c r="BF167" s="163">
        <f>(BT168-BT167)</f>
        <v>3.5145411937618292</v>
      </c>
      <c r="BG167" s="154">
        <f>(BG168+BF169)/2</f>
        <v>217.98742267142978</v>
      </c>
      <c r="BH167" s="164">
        <f>(BI169*BH169*BG169*BH168*BI168*BF167)</f>
        <v>11263736184665.637</v>
      </c>
      <c r="BI167" s="154">
        <f>(BH168*BH167*BF167)</f>
        <v>12428940854.636581</v>
      </c>
      <c r="BJ167" s="163">
        <f>INT(BF167+1)</f>
        <v>4</v>
      </c>
      <c r="BK167" s="165">
        <f>(BV179*-1)</f>
        <v>1522.5084334916467</v>
      </c>
      <c r="BL167" s="161"/>
      <c r="BM167" s="152">
        <f>IF(BK167&lt;0,1,-1)</f>
        <v>-1</v>
      </c>
      <c r="BN167" s="161"/>
      <c r="BO167" s="161"/>
      <c r="BP167" s="161"/>
      <c r="BQ167" s="161"/>
      <c r="BR167" s="161"/>
      <c r="BS167" s="161">
        <f>(BR166+BT166)/2</f>
        <v>233.02941827424866</v>
      </c>
      <c r="BT167" s="161">
        <f>BS167-BF166</f>
        <v>8.2707264716650002</v>
      </c>
      <c r="BU167" s="161">
        <f>(BV171+BW169)/2</f>
        <v>1245.4275745766695</v>
      </c>
      <c r="BV167" s="162">
        <f>(BV170*BF167*100)</f>
        <v>-708.72455184159253</v>
      </c>
      <c r="BW167" s="150">
        <f>INT(BW166)</f>
        <v>35</v>
      </c>
      <c r="BX167" s="151"/>
      <c r="BY167" s="797"/>
      <c r="BZ167" s="797"/>
      <c r="CA167" s="797"/>
      <c r="CB167" s="797"/>
      <c r="CC167" s="797"/>
      <c r="CD167" s="797"/>
      <c r="CE167" s="797"/>
      <c r="CF167" s="797"/>
      <c r="CG167" s="797"/>
      <c r="CH167" s="797"/>
      <c r="CI167" s="797"/>
      <c r="CJ167" s="797"/>
      <c r="CK167" s="797"/>
      <c r="CL167" s="797"/>
      <c r="CM167" s="797"/>
      <c r="CN167" s="797"/>
      <c r="CO167" s="797"/>
      <c r="CP167" s="797"/>
      <c r="CQ167" s="797"/>
      <c r="CR167" s="797"/>
      <c r="CS167" s="797"/>
      <c r="CT167" s="797"/>
      <c r="CU167" s="797"/>
    </row>
    <row r="168" spans="1:99" x14ac:dyDescent="0.25">
      <c r="A168" s="163">
        <f>N167</f>
        <v>233.01477430887581</v>
      </c>
      <c r="B168" s="163">
        <f>(N167+N169)/2</f>
        <v>222.98860773600151</v>
      </c>
      <c r="C168" s="154">
        <f>(A167/D169)</f>
        <v>3.3431298351233133E-4</v>
      </c>
      <c r="D168" s="154">
        <f>(A167+B169+C169+D169)</f>
        <v>23472.546883308481</v>
      </c>
      <c r="E168" s="173">
        <f>(E167*C169)</f>
        <v>11964.835938992053</v>
      </c>
      <c r="F168" s="174"/>
      <c r="G168" s="161"/>
      <c r="H168" s="161"/>
      <c r="I168" s="161"/>
      <c r="J168" s="161"/>
      <c r="K168" s="161"/>
      <c r="L168" s="161"/>
      <c r="M168" s="161">
        <f>(N167+N169)/2</f>
        <v>222.98860773600151</v>
      </c>
      <c r="N168" s="161">
        <f>(I166+N167)/2</f>
        <v>182.05230801737858</v>
      </c>
      <c r="O168" s="161">
        <f>A166-N169</f>
        <v>11.737674777965111</v>
      </c>
      <c r="P168" s="161"/>
      <c r="Q168" s="149"/>
      <c r="R168" s="171"/>
      <c r="S168" s="151"/>
      <c r="T168" s="163">
        <f>AG167</f>
        <v>233.02477431403565</v>
      </c>
      <c r="U168" s="163">
        <f>(AG167+AG169)/2</f>
        <v>222.99735774051635</v>
      </c>
      <c r="V168" s="154">
        <f>(T167/W169)</f>
        <v>3.2023105412757534E-4</v>
      </c>
      <c r="W168" s="154">
        <f>(T167+U169+V169+W169)</f>
        <v>24894.990516096092</v>
      </c>
      <c r="X168" s="173">
        <f>(X167*V169)</f>
        <v>12490.980960286441</v>
      </c>
      <c r="Y168" s="174"/>
      <c r="Z168" s="161"/>
      <c r="AA168" s="161"/>
      <c r="AB168" s="161"/>
      <c r="AC168" s="161"/>
      <c r="AD168" s="161"/>
      <c r="AE168" s="161"/>
      <c r="AF168" s="161">
        <f>(AG167+AG169)/2</f>
        <v>222.99735774051635</v>
      </c>
      <c r="AG168" s="161">
        <f>(AB166+AG167)/2</f>
        <v>182.0573080199585</v>
      </c>
      <c r="AH168" s="161">
        <f>T166-AG169</f>
        <v>11.770174794734515</v>
      </c>
      <c r="AI168" s="161"/>
      <c r="AJ168" s="149"/>
      <c r="AK168" s="171"/>
      <c r="AL168" s="151"/>
      <c r="AM168" s="163">
        <f>AZ167</f>
        <v>233.01881594905396</v>
      </c>
      <c r="AN168" s="163">
        <f>(AZ167+AZ169)/2</f>
        <v>222.99214417115741</v>
      </c>
      <c r="AO168" s="154">
        <f>(AM167/AP169)</f>
        <v>3.2852162273381674E-4</v>
      </c>
      <c r="AP168" s="154">
        <f>(AM167+AN169+AO169+AP169)</f>
        <v>24040.080194152557</v>
      </c>
      <c r="AQ168" s="173">
        <f>(AQ167*AO169)</f>
        <v>12175.758681312076</v>
      </c>
      <c r="AR168" s="174"/>
      <c r="AS168" s="161"/>
      <c r="AT168" s="161"/>
      <c r="AU168" s="161"/>
      <c r="AV168" s="161"/>
      <c r="AW168" s="161"/>
      <c r="AX168" s="161"/>
      <c r="AY168" s="161">
        <f>(AZ167+AZ169)/2</f>
        <v>222.99214417115741</v>
      </c>
      <c r="AZ168" s="161">
        <f>(AU166+AZ167)/2</f>
        <v>182.05432883746766</v>
      </c>
      <c r="BA168" s="161">
        <f>AM166-AZ169</f>
        <v>11.750810108543988</v>
      </c>
      <c r="BB168" s="161"/>
      <c r="BC168" s="149"/>
      <c r="BD168" s="171"/>
      <c r="BE168" s="151"/>
      <c r="BF168" s="163">
        <f>BS167</f>
        <v>233.02941827424866</v>
      </c>
      <c r="BG168" s="163">
        <f>(BS167+BS169)/2</f>
        <v>223.00142120570274</v>
      </c>
      <c r="BH168" s="154">
        <f>(BF167/BI169)</f>
        <v>3.1396628432675972E-4</v>
      </c>
      <c r="BI168" s="154">
        <f>(BF167+BG169+BH169+BI169)</f>
        <v>25576.586518461896</v>
      </c>
      <c r="BJ168" s="173">
        <f>(BJ167*BH169)</f>
        <v>12740.221481351829</v>
      </c>
      <c r="BK168" s="174"/>
      <c r="BL168" s="161"/>
      <c r="BM168" s="161"/>
      <c r="BN168" s="161"/>
      <c r="BO168" s="161"/>
      <c r="BP168" s="161"/>
      <c r="BQ168" s="161"/>
      <c r="BR168" s="161">
        <f>(BS167+BS169)/2</f>
        <v>223.00142120570274</v>
      </c>
      <c r="BS168" s="161">
        <f>(BN166+BS167)/2</f>
        <v>182.059630000065</v>
      </c>
      <c r="BT168" s="161">
        <f>BF166-BS169</f>
        <v>11.785267665426829</v>
      </c>
      <c r="BU168" s="161"/>
      <c r="BV168" s="149"/>
      <c r="BW168" s="171"/>
      <c r="BX168" s="151"/>
      <c r="BY168" s="797"/>
      <c r="BZ168" s="797"/>
      <c r="CA168" s="797"/>
      <c r="CB168" s="797"/>
      <c r="CC168" s="797"/>
      <c r="CD168" s="797"/>
      <c r="CE168" s="797"/>
      <c r="CF168" s="797"/>
      <c r="CG168" s="797"/>
      <c r="CH168" s="797"/>
      <c r="CI168" s="797"/>
      <c r="CJ168" s="797"/>
      <c r="CK168" s="797"/>
      <c r="CL168" s="797"/>
      <c r="CM168" s="797"/>
      <c r="CN168" s="797"/>
      <c r="CO168" s="797"/>
      <c r="CP168" s="797"/>
      <c r="CQ168" s="797"/>
      <c r="CR168" s="797"/>
      <c r="CS168" s="797"/>
      <c r="CT168" s="797"/>
      <c r="CU168" s="797"/>
    </row>
    <row r="169" spans="1:99" x14ac:dyDescent="0.25">
      <c r="A169" s="277">
        <f>N169</f>
        <v>212.96244116312721</v>
      </c>
      <c r="B169" s="154">
        <f>G175</f>
        <v>10238.957441075145</v>
      </c>
      <c r="C169" s="154">
        <f>(B169/A167)</f>
        <v>2991.2089847480133</v>
      </c>
      <c r="D169" s="154">
        <f>(A167*C169)</f>
        <v>10238.957441075145</v>
      </c>
      <c r="E169" s="163">
        <f>INT(A167)+1</f>
        <v>4</v>
      </c>
      <c r="F169" s="174">
        <f>(Q179)</f>
        <v>-1598.3365733541821</v>
      </c>
      <c r="G169" s="161"/>
      <c r="H169" s="152">
        <f>IF(F167&gt;0,-1,1)</f>
        <v>-1</v>
      </c>
      <c r="I169" s="161"/>
      <c r="J169" s="161"/>
      <c r="K169" s="161"/>
      <c r="L169" s="161"/>
      <c r="M169" s="161">
        <f>(N168+P166*2)</f>
        <v>192.91010801737858</v>
      </c>
      <c r="N169" s="161">
        <f>(N167+M169)/2</f>
        <v>212.96244116312721</v>
      </c>
      <c r="O169" s="161">
        <f>(N168+J166)/2</f>
        <v>377.10935400868925</v>
      </c>
      <c r="P169" s="152">
        <f>IF(Q179&gt;1,-1,1)</f>
        <v>1</v>
      </c>
      <c r="Q169" s="162">
        <f>F177-F174</f>
        <v>-3.8796542157500644</v>
      </c>
      <c r="R169" s="150">
        <f>R167^2</f>
        <v>961</v>
      </c>
      <c r="S169" s="151"/>
      <c r="T169" s="277">
        <f>AG169</f>
        <v>212.96994116699707</v>
      </c>
      <c r="U169" s="154">
        <f>Z175</f>
        <v>10884.379879791026</v>
      </c>
      <c r="V169" s="154">
        <f>(U169/T167)</f>
        <v>3122.7452400716102</v>
      </c>
      <c r="W169" s="154">
        <f>(T167*V169)</f>
        <v>10884.379879791026</v>
      </c>
      <c r="X169" s="163">
        <f>INT(T167)+1</f>
        <v>4</v>
      </c>
      <c r="Y169" s="174">
        <f>(AJ179)</f>
        <v>-1105.5334332480684</v>
      </c>
      <c r="Z169" s="161"/>
      <c r="AA169" s="152">
        <f>IF(Y167&gt;0,-1,1)</f>
        <v>-1</v>
      </c>
      <c r="AB169" s="161"/>
      <c r="AC169" s="161"/>
      <c r="AD169" s="161"/>
      <c r="AE169" s="161"/>
      <c r="AF169" s="161">
        <f>(AG168+AI166*2)</f>
        <v>192.9151080199585</v>
      </c>
      <c r="AG169" s="161">
        <f>(AG167+AF169)/2</f>
        <v>212.96994116699707</v>
      </c>
      <c r="AH169" s="161">
        <f>(AG168+AC166)/2</f>
        <v>377.1118540099792</v>
      </c>
      <c r="AI169" s="152">
        <f>IF(AJ179&gt;1,-1,1)</f>
        <v>1</v>
      </c>
      <c r="AJ169" s="162">
        <f>Y177-Y174</f>
        <v>-3.9543907257212609</v>
      </c>
      <c r="AK169" s="150">
        <f>AK167^2</f>
        <v>961</v>
      </c>
      <c r="AL169" s="151"/>
      <c r="AM169" s="277">
        <f>AZ169</f>
        <v>212.96547239326082</v>
      </c>
      <c r="AN169" s="154">
        <f>AS175</f>
        <v>10496.346123581621</v>
      </c>
      <c r="AO169" s="154">
        <f>(AN169/AM167)</f>
        <v>3043.939670328019</v>
      </c>
      <c r="AP169" s="154">
        <f>(AM167*AO169)</f>
        <v>10496.346123581621</v>
      </c>
      <c r="AQ169" s="163">
        <f>INT(AM167)+1</f>
        <v>4</v>
      </c>
      <c r="AR169" s="174">
        <f>(BC179)</f>
        <v>-2180.5265263030724</v>
      </c>
      <c r="AS169" s="161"/>
      <c r="AT169" s="152">
        <f>IF(AR167&gt;0,-1,1)</f>
        <v>-1</v>
      </c>
      <c r="AU169" s="161"/>
      <c r="AV169" s="161"/>
      <c r="AW169" s="161"/>
      <c r="AX169" s="161"/>
      <c r="AY169" s="161">
        <f>(AZ168+BB166*2)</f>
        <v>192.91212883746766</v>
      </c>
      <c r="AZ169" s="161">
        <f>(AZ167+AY169)/2</f>
        <v>212.96547239326082</v>
      </c>
      <c r="BA169" s="161">
        <f>(AZ168+AV166)/2</f>
        <v>377.11036441873381</v>
      </c>
      <c r="BB169" s="152">
        <f>IF(BC179&gt;1,-1,1)</f>
        <v>1</v>
      </c>
      <c r="BC169" s="162">
        <f>AR177-AR174</f>
        <v>-3.9098381354680098</v>
      </c>
      <c r="BD169" s="150">
        <f>BD167^2</f>
        <v>1225</v>
      </c>
      <c r="BE169" s="151"/>
      <c r="BF169" s="277">
        <f>BS169</f>
        <v>212.97342413715683</v>
      </c>
      <c r="BG169" s="154">
        <f>BL175</f>
        <v>11194.008303465089</v>
      </c>
      <c r="BH169" s="154">
        <f>(BG169/BF167)</f>
        <v>3185.0553703379574</v>
      </c>
      <c r="BI169" s="154">
        <f>(BF167*BH169)</f>
        <v>11194.008303465089</v>
      </c>
      <c r="BJ169" s="163">
        <f>INT(BF167)+1</f>
        <v>4</v>
      </c>
      <c r="BK169" s="174">
        <f>(BV179)</f>
        <v>-1522.5084334916467</v>
      </c>
      <c r="BL169" s="161"/>
      <c r="BM169" s="152">
        <f>IF(BK167&gt;0,-1,1)</f>
        <v>-1</v>
      </c>
      <c r="BN169" s="161"/>
      <c r="BO169" s="161"/>
      <c r="BP169" s="161"/>
      <c r="BQ169" s="161"/>
      <c r="BR169" s="161">
        <f>(BS168+BU166*2)</f>
        <v>192.917430000065</v>
      </c>
      <c r="BS169" s="161">
        <f>(BS167+BR169)/2</f>
        <v>212.97342413715683</v>
      </c>
      <c r="BT169" s="161">
        <f>(BS168+BO166)/2</f>
        <v>377.11301500003248</v>
      </c>
      <c r="BU169" s="152">
        <f>IF(BV179&gt;1,-1,1)</f>
        <v>1</v>
      </c>
      <c r="BV169" s="162">
        <f>BK177-BK174</f>
        <v>-3.9891583352931494</v>
      </c>
      <c r="BW169" s="150">
        <f>BW167^2</f>
        <v>1225</v>
      </c>
      <c r="BX169" s="151"/>
      <c r="BY169" s="797"/>
      <c r="BZ169" s="797"/>
      <c r="CA169" s="797"/>
      <c r="CB169" s="797"/>
      <c r="CC169" s="797"/>
      <c r="CD169" s="797"/>
      <c r="CE169" s="797"/>
      <c r="CF169" s="797"/>
      <c r="CG169" s="797"/>
      <c r="CH169" s="797"/>
      <c r="CI169" s="797"/>
      <c r="CJ169" s="797"/>
      <c r="CK169" s="797"/>
      <c r="CL169" s="797"/>
      <c r="CM169" s="797"/>
      <c r="CN169" s="797"/>
      <c r="CO169" s="797"/>
      <c r="CP169" s="797"/>
      <c r="CQ169" s="797"/>
      <c r="CR169" s="797"/>
      <c r="CS169" s="797"/>
      <c r="CT169" s="797"/>
      <c r="CU169" s="797"/>
    </row>
    <row r="170" spans="1:99" x14ac:dyDescent="0.25">
      <c r="A170" s="277">
        <f>(O168+O167)+A166</f>
        <v>244.75244908684093</v>
      </c>
      <c r="B170" s="154">
        <f>(A168+B168)/2</f>
        <v>228.00169102243865</v>
      </c>
      <c r="C170" s="163">
        <f>(C168)</f>
        <v>3.3431298351233133E-4</v>
      </c>
      <c r="D170" s="154">
        <f>(D167*D168*D169*B169*A167)</f>
        <v>8.1193931056869563E+22</v>
      </c>
      <c r="E170" s="154">
        <f>(C170*A167)</f>
        <v>1.1443588286994865E-3</v>
      </c>
      <c r="F170" s="161">
        <f>(F172/O172)*O173-F173</f>
        <v>-1592.1889679703268</v>
      </c>
      <c r="G170" s="161"/>
      <c r="H170" s="161"/>
      <c r="I170" s="161"/>
      <c r="J170" s="161"/>
      <c r="K170" s="161"/>
      <c r="L170" s="161"/>
      <c r="M170" s="161"/>
      <c r="N170" s="164">
        <f>(F170+Q179)*F173</f>
        <v>-5099533.6609196123</v>
      </c>
      <c r="O170" s="152">
        <f>H169</f>
        <v>-1</v>
      </c>
      <c r="P170" s="152">
        <f>IF(Q179&lt;100,1,-1)</f>
        <v>1</v>
      </c>
      <c r="Q170" s="162">
        <f>Q169+F177</f>
        <v>-1.914287525794621</v>
      </c>
      <c r="R170" s="171"/>
      <c r="S170" s="151"/>
      <c r="T170" s="277">
        <f>(AH168+AH167)+T166</f>
        <v>244.79494910877017</v>
      </c>
      <c r="U170" s="154">
        <f>(T168+U168)/2</f>
        <v>228.011066027276</v>
      </c>
      <c r="V170" s="163">
        <f>(V168)</f>
        <v>3.2023105412757534E-4</v>
      </c>
      <c r="W170" s="154">
        <f>(W167*W168*W169*U169*T167)</f>
        <v>1.1795152114249897E+23</v>
      </c>
      <c r="X170" s="154">
        <f>(V170*T167)</f>
        <v>1.1161706045384999E-3</v>
      </c>
      <c r="Y170" s="161">
        <f>(Y172/AH172)*AH173-Y173</f>
        <v>-1101.8891972095093</v>
      </c>
      <c r="Z170" s="161"/>
      <c r="AA170" s="161"/>
      <c r="AB170" s="161"/>
      <c r="AC170" s="161"/>
      <c r="AD170" s="161"/>
      <c r="AE170" s="161"/>
      <c r="AF170" s="161"/>
      <c r="AG170" s="164">
        <f>(Y170+AJ179)*Y173</f>
        <v>-2440379.5192792481</v>
      </c>
      <c r="AH170" s="152">
        <f>AA169</f>
        <v>-1</v>
      </c>
      <c r="AI170" s="152">
        <f>IF(AJ179&lt;100,1,-1)</f>
        <v>1</v>
      </c>
      <c r="AJ170" s="162">
        <f>AJ169+Y177</f>
        <v>-1.984036928404505</v>
      </c>
      <c r="AK170" s="171"/>
      <c r="AL170" s="151"/>
      <c r="AM170" s="277">
        <f>(BA168+BA167)+AM166</f>
        <v>244.76962605759795</v>
      </c>
      <c r="AN170" s="154">
        <f>(AM168+AN168)/2</f>
        <v>228.0054800601057</v>
      </c>
      <c r="AO170" s="163">
        <f>(AO168)</f>
        <v>3.2852162273381674E-4</v>
      </c>
      <c r="AP170" s="154">
        <f>(AP167*AP168*AP169*AN169*AM167)</f>
        <v>9.4491918214902206E+22</v>
      </c>
      <c r="AQ170" s="154">
        <f>(AO170*AM167)</f>
        <v>1.1328334444037289E-3</v>
      </c>
      <c r="AR170" s="161">
        <f>(AR172/BA172)*BA173-AR173</f>
        <v>-2172.6514793158053</v>
      </c>
      <c r="AS170" s="161"/>
      <c r="AT170" s="161"/>
      <c r="AU170" s="161"/>
      <c r="AV170" s="161"/>
      <c r="AW170" s="161"/>
      <c r="AX170" s="161"/>
      <c r="AY170" s="161"/>
      <c r="AZ170" s="164">
        <f>(AR170+BC179)*AR173</f>
        <v>-9492220.1149710696</v>
      </c>
      <c r="BA170" s="152">
        <f>AT169</f>
        <v>-1</v>
      </c>
      <c r="BB170" s="152">
        <f>IF(BC179&lt;100,1,-1)</f>
        <v>1</v>
      </c>
      <c r="BC170" s="162">
        <f>BC169+AR177</f>
        <v>-1.9424337472473114</v>
      </c>
      <c r="BD170" s="171"/>
      <c r="BE170" s="151"/>
      <c r="BF170" s="277">
        <f>(BT168+BT167)+BF166</f>
        <v>244.81468593967548</v>
      </c>
      <c r="BG170" s="154">
        <f>(BF168+BG168)/2</f>
        <v>228.0154197399757</v>
      </c>
      <c r="BH170" s="163">
        <f>(BH168)</f>
        <v>3.1396628432675972E-4</v>
      </c>
      <c r="BI170" s="154">
        <f>(BI167*BI168*BI169*BG169*BF167)</f>
        <v>1.399963108414391E+23</v>
      </c>
      <c r="BJ170" s="154">
        <f>(BH170*BF167)</f>
        <v>1.1034474397187361E-3</v>
      </c>
      <c r="BK170" s="161">
        <f>(BK172/BT172)*BT173-BK173</f>
        <v>-1517.8291140839303</v>
      </c>
      <c r="BL170" s="161"/>
      <c r="BM170" s="161"/>
      <c r="BN170" s="161"/>
      <c r="BO170" s="161"/>
      <c r="BP170" s="161"/>
      <c r="BQ170" s="161"/>
      <c r="BR170" s="161"/>
      <c r="BS170" s="164">
        <f>(BK170+BV179)*BK173</f>
        <v>-4628939.5568451267</v>
      </c>
      <c r="BT170" s="152">
        <f>BM169</f>
        <v>-1</v>
      </c>
      <c r="BU170" s="152">
        <f>IF(BV179&lt;100,1,-1)</f>
        <v>1</v>
      </c>
      <c r="BV170" s="162">
        <f>BV169+BK177</f>
        <v>-2.0165492813103185</v>
      </c>
      <c r="BW170" s="171"/>
      <c r="BX170" s="151"/>
      <c r="BY170" s="797"/>
      <c r="BZ170" s="797"/>
      <c r="CA170" s="797"/>
      <c r="CB170" s="797"/>
      <c r="CC170" s="797"/>
      <c r="CD170" s="797"/>
      <c r="CE170" s="797"/>
      <c r="CF170" s="797"/>
      <c r="CG170" s="797"/>
      <c r="CH170" s="797"/>
      <c r="CI170" s="797"/>
      <c r="CJ170" s="797"/>
      <c r="CK170" s="797"/>
      <c r="CL170" s="797"/>
      <c r="CM170" s="797"/>
      <c r="CN170" s="797"/>
      <c r="CO170" s="797"/>
      <c r="CP170" s="797"/>
      <c r="CQ170" s="797"/>
      <c r="CR170" s="797"/>
      <c r="CS170" s="797"/>
      <c r="CT170" s="797"/>
      <c r="CU170" s="797"/>
    </row>
    <row r="171" spans="1:99" x14ac:dyDescent="0.25">
      <c r="A171" s="277">
        <f>(O168*-1-O167)+A166</f>
        <v>204.64778279534372</v>
      </c>
      <c r="B171" s="154">
        <f>(B168+B167)/2</f>
        <v>220.48206609278293</v>
      </c>
      <c r="C171" s="154">
        <f>(B167+A169)/2</f>
        <v>215.46898280634579</v>
      </c>
      <c r="D171" s="154">
        <f>D167</f>
        <v>9639242285.6646824</v>
      </c>
      <c r="E171" s="154">
        <f>(B168+A166)/2</f>
        <v>223.84436183854692</v>
      </c>
      <c r="F171" s="161">
        <f>(F173/O173)</f>
        <v>403.04407520211811</v>
      </c>
      <c r="G171" s="161"/>
      <c r="H171" s="161"/>
      <c r="I171" s="161"/>
      <c r="J171" s="161"/>
      <c r="K171" s="161"/>
      <c r="L171" s="161"/>
      <c r="M171" s="161"/>
      <c r="N171" s="161"/>
      <c r="O171" s="152">
        <f>H167</f>
        <v>-1</v>
      </c>
      <c r="P171" s="152">
        <f>IF(Q179&lt;0,-1,1)</f>
        <v>-1</v>
      </c>
      <c r="Q171" s="174">
        <f>Q146</f>
        <v>1019.3570218274934</v>
      </c>
      <c r="R171" s="171"/>
      <c r="S171" s="151"/>
      <c r="T171" s="277">
        <f>(AH168*-1-AH167)+T166</f>
        <v>204.68528281469301</v>
      </c>
      <c r="U171" s="154">
        <f>(U168+U167)/2</f>
        <v>220.49050359713652</v>
      </c>
      <c r="V171" s="154">
        <f>(U167+T169)/2</f>
        <v>215.47679531037687</v>
      </c>
      <c r="W171" s="154">
        <f>W167</f>
        <v>11474058595.800299</v>
      </c>
      <c r="X171" s="154">
        <f>(U168+T166)/2</f>
        <v>223.86873685112397</v>
      </c>
      <c r="Y171" s="161">
        <f>(Y173/AH173)</f>
        <v>491.94946412195719</v>
      </c>
      <c r="Z171" s="161"/>
      <c r="AA171" s="161"/>
      <c r="AB171" s="161"/>
      <c r="AC171" s="161"/>
      <c r="AD171" s="161"/>
      <c r="AE171" s="161"/>
      <c r="AF171" s="161"/>
      <c r="AG171" s="161"/>
      <c r="AH171" s="152">
        <f>AA167</f>
        <v>-1</v>
      </c>
      <c r="AI171" s="152">
        <f>IF(AJ179&lt;0,-1,1)</f>
        <v>-1</v>
      </c>
      <c r="AJ171" s="174">
        <f>AJ146</f>
        <v>1019.3570218274934</v>
      </c>
      <c r="AK171" s="171"/>
      <c r="AL171" s="151"/>
      <c r="AM171" s="277">
        <f>(BA168*-1-BA167)+AM166</f>
        <v>204.66293894601168</v>
      </c>
      <c r="AN171" s="154">
        <f>(AN168+AN167)/2</f>
        <v>220.48547622668326</v>
      </c>
      <c r="AO171" s="154">
        <f>(AN167+AM169)/2</f>
        <v>215.47214033773497</v>
      </c>
      <c r="AP171" s="154">
        <f>AP167</f>
        <v>10346187954.010071</v>
      </c>
      <c r="AQ171" s="154">
        <f>(AN168+AM166)/2</f>
        <v>223.85421333648111</v>
      </c>
      <c r="AR171" s="161">
        <f>(AR173/BA173)</f>
        <v>437.16183799067034</v>
      </c>
      <c r="AS171" s="161"/>
      <c r="AT171" s="161"/>
      <c r="AU171" s="161"/>
      <c r="AV171" s="161"/>
      <c r="AW171" s="161"/>
      <c r="AX171" s="161"/>
      <c r="AY171" s="161"/>
      <c r="AZ171" s="161"/>
      <c r="BA171" s="152">
        <f>AT167</f>
        <v>-1</v>
      </c>
      <c r="BB171" s="152">
        <f>IF(BC179&lt;0,-1,1)</f>
        <v>-1</v>
      </c>
      <c r="BC171" s="174">
        <f>BC146</f>
        <v>1265.8551491533392</v>
      </c>
      <c r="BD171" s="171"/>
      <c r="BE171" s="151"/>
      <c r="BF171" s="277">
        <f>(BT168*-1-BT167)+BF166</f>
        <v>204.70269766549183</v>
      </c>
      <c r="BG171" s="154">
        <f>(BG168+BG167)/2</f>
        <v>220.49442193856626</v>
      </c>
      <c r="BH171" s="154">
        <f>(BG167+BF169)/2</f>
        <v>215.4804234042933</v>
      </c>
      <c r="BI171" s="154">
        <f>BI167</f>
        <v>12428940854.636581</v>
      </c>
      <c r="BJ171" s="154">
        <f>(BG168+BF166)/2</f>
        <v>223.8800565041432</v>
      </c>
      <c r="BK171" s="161">
        <f>(BK173/BT173)</f>
        <v>538.66226876273117</v>
      </c>
      <c r="BL171" s="161"/>
      <c r="BM171" s="161"/>
      <c r="BN171" s="161"/>
      <c r="BO171" s="161"/>
      <c r="BP171" s="161"/>
      <c r="BQ171" s="161"/>
      <c r="BR171" s="161"/>
      <c r="BS171" s="161"/>
      <c r="BT171" s="152">
        <f>BM167</f>
        <v>-1</v>
      </c>
      <c r="BU171" s="152">
        <f>IF(BV179&lt;0,-1,1)</f>
        <v>-1</v>
      </c>
      <c r="BV171" s="174">
        <f>BV146</f>
        <v>1265.8551491533392</v>
      </c>
      <c r="BW171" s="171"/>
      <c r="BX171" s="151"/>
      <c r="BY171" s="797"/>
      <c r="BZ171" s="797"/>
      <c r="CA171" s="797"/>
      <c r="CB171" s="797"/>
      <c r="CC171" s="797"/>
      <c r="CD171" s="797"/>
      <c r="CE171" s="797"/>
      <c r="CF171" s="797"/>
      <c r="CG171" s="797"/>
      <c r="CH171" s="797"/>
      <c r="CI171" s="797"/>
      <c r="CJ171" s="797"/>
      <c r="CK171" s="797"/>
      <c r="CL171" s="797"/>
      <c r="CM171" s="797"/>
      <c r="CN171" s="797"/>
      <c r="CO171" s="797"/>
      <c r="CP171" s="797"/>
      <c r="CQ171" s="797"/>
      <c r="CR171" s="797"/>
      <c r="CS171" s="797"/>
      <c r="CT171" s="797"/>
      <c r="CU171" s="797"/>
    </row>
    <row r="172" spans="1:99" x14ac:dyDescent="0.25">
      <c r="A172" s="163">
        <f>(A171-A170)+A166-A168</f>
        <v>-48.419324659280704</v>
      </c>
      <c r="B172" s="163">
        <f>(A172*-1)+A173</f>
        <v>20.052333145748605</v>
      </c>
      <c r="C172" s="163">
        <f>(B172/2)+A167</f>
        <v>13.44918298305592</v>
      </c>
      <c r="D172" s="163">
        <f>(C180+C173+B179+B172+A167)*-1</f>
        <v>7.7272081488153894</v>
      </c>
      <c r="E172" s="163">
        <f>(C172*A167)*D172</f>
        <v>355.73573561938167</v>
      </c>
      <c r="F172" s="152">
        <f>(E172*A167)</f>
        <v>1217.6892607131726</v>
      </c>
      <c r="G172" s="152">
        <f>(F172+E172)</f>
        <v>1573.4249963325542</v>
      </c>
      <c r="H172" s="161"/>
      <c r="I172" s="161"/>
      <c r="J172" s="161"/>
      <c r="K172" s="161"/>
      <c r="L172" s="161"/>
      <c r="M172" s="161"/>
      <c r="N172" s="161"/>
      <c r="O172" s="161">
        <v>785.5</v>
      </c>
      <c r="P172" s="152">
        <f>IF(N170&gt;-1,1,-1)</f>
        <v>-1</v>
      </c>
      <c r="Q172" s="149">
        <f>Q124</f>
        <v>0.9</v>
      </c>
      <c r="R172" s="171"/>
      <c r="S172" s="151"/>
      <c r="T172" s="163">
        <f>(T171-T170)+T166-T168</f>
        <v>-48.394324646381222</v>
      </c>
      <c r="U172" s="163">
        <f>(T172*-1)+T173</f>
        <v>20.054833147038579</v>
      </c>
      <c r="V172" s="163">
        <f>(U172/2)+T167</f>
        <v>13.512933015949741</v>
      </c>
      <c r="W172" s="163">
        <f>(V180+V173+U179+U172+T167)*-1</f>
        <v>7.7592081653268004</v>
      </c>
      <c r="X172" s="163">
        <f>(V172*T167)*W172</f>
        <v>365.45521459246976</v>
      </c>
      <c r="Y172" s="152">
        <f>(X172*T167)</f>
        <v>1273.8001594340026</v>
      </c>
      <c r="Z172" s="152">
        <f>(Y172+X172)</f>
        <v>1639.2553740264723</v>
      </c>
      <c r="AA172" s="161"/>
      <c r="AB172" s="161"/>
      <c r="AC172" s="161"/>
      <c r="AD172" s="161"/>
      <c r="AE172" s="161"/>
      <c r="AF172" s="161"/>
      <c r="AG172" s="161"/>
      <c r="AH172" s="161">
        <v>785.5</v>
      </c>
      <c r="AI172" s="152">
        <f>IF(AG170&gt;-1,1,-1)</f>
        <v>-1</v>
      </c>
      <c r="AJ172" s="149">
        <f>AJ124</f>
        <v>0.51</v>
      </c>
      <c r="AK172" s="171"/>
      <c r="AL172" s="151"/>
      <c r="AM172" s="163">
        <f>(AM171-AM170)+AM166-AM168</f>
        <v>-48.409220558835415</v>
      </c>
      <c r="AN172" s="163">
        <f>(AM172*-1)+AM173</f>
        <v>20.053343555793134</v>
      </c>
      <c r="AO172" s="163">
        <f>(AN172/2)+AM167</f>
        <v>13.474948439191408</v>
      </c>
      <c r="AP172" s="163">
        <f>(AO180+AO173+AN179+AN172+AM167)*-1</f>
        <v>7.7401413973853579</v>
      </c>
      <c r="AQ172" s="163">
        <f>(AO172*AM167)*AP172</f>
        <v>359.64838074324683</v>
      </c>
      <c r="AR172" s="152">
        <f>(AQ172*AM167)</f>
        <v>1240.1671175894189</v>
      </c>
      <c r="AS172" s="152">
        <f>(AR172+AQ172)</f>
        <v>1599.8154983326658</v>
      </c>
      <c r="AT172" s="161"/>
      <c r="AU172" s="161"/>
      <c r="AV172" s="161"/>
      <c r="AW172" s="161"/>
      <c r="AX172" s="161"/>
      <c r="AY172" s="161"/>
      <c r="AZ172" s="161"/>
      <c r="BA172" s="161">
        <v>785.5</v>
      </c>
      <c r="BB172" s="152">
        <f>IF(AZ170&gt;-1,1,-1)</f>
        <v>-1</v>
      </c>
      <c r="BC172" s="149">
        <f>BC124</f>
        <v>0.9</v>
      </c>
      <c r="BD172" s="171"/>
      <c r="BE172" s="151"/>
      <c r="BF172" s="163">
        <f>(BF171-BF170)+BF166-BF168</f>
        <v>-48.382714745848659</v>
      </c>
      <c r="BG172" s="163">
        <f>(BF172*-1)+BF173</f>
        <v>20.05599413709183</v>
      </c>
      <c r="BH172" s="163">
        <f>(BG172/2)+BF167</f>
        <v>13.542538262307744</v>
      </c>
      <c r="BI172" s="163">
        <f>(BH180+BH173+BG179+BG172+BF167)*-1</f>
        <v>7.7740688380084642</v>
      </c>
      <c r="BJ172" s="163">
        <f>(BH172*BF167)*BI172</f>
        <v>370.01309238692443</v>
      </c>
      <c r="BK172" s="152">
        <f>(BJ172*BF167)</f>
        <v>1300.4262554250474</v>
      </c>
      <c r="BL172" s="152">
        <f>(BK172+BJ172)</f>
        <v>1670.4393478119719</v>
      </c>
      <c r="BM172" s="161"/>
      <c r="BN172" s="161"/>
      <c r="BO172" s="161"/>
      <c r="BP172" s="161"/>
      <c r="BQ172" s="161"/>
      <c r="BR172" s="161"/>
      <c r="BS172" s="161"/>
      <c r="BT172" s="161">
        <v>785.5</v>
      </c>
      <c r="BU172" s="152">
        <f>IF(BS170&gt;-1,1,-1)</f>
        <v>-1</v>
      </c>
      <c r="BV172" s="149">
        <f>BV124</f>
        <v>0.51</v>
      </c>
      <c r="BW172" s="171"/>
      <c r="BX172" s="151"/>
      <c r="BY172" s="797"/>
      <c r="BZ172" s="797"/>
      <c r="CA172" s="797"/>
      <c r="CB172" s="797"/>
      <c r="CC172" s="797"/>
      <c r="CD172" s="797"/>
      <c r="CE172" s="797"/>
      <c r="CF172" s="797"/>
      <c r="CG172" s="797"/>
      <c r="CH172" s="797"/>
      <c r="CI172" s="797"/>
      <c r="CJ172" s="797"/>
      <c r="CK172" s="797"/>
      <c r="CL172" s="797"/>
      <c r="CM172" s="797"/>
      <c r="CN172" s="797"/>
      <c r="CO172" s="797"/>
      <c r="CP172" s="797"/>
      <c r="CQ172" s="797"/>
      <c r="CR172" s="797"/>
      <c r="CS172" s="797"/>
      <c r="CT172" s="797"/>
      <c r="CU172" s="797"/>
    </row>
    <row r="173" spans="1:99" x14ac:dyDescent="0.25">
      <c r="A173" s="163">
        <f>(A171-A170)+A166-A169</f>
        <v>-28.366991513532099</v>
      </c>
      <c r="B173" s="163">
        <f>A174+(A173*-1)+A172</f>
        <v>-96.838649318561409</v>
      </c>
      <c r="C173" s="154">
        <f>(B173/10)</f>
        <v>-9.6838649318561405</v>
      </c>
      <c r="D173" s="154"/>
      <c r="E173" s="154"/>
      <c r="F173" s="161">
        <f>(Q179*-1)</f>
        <v>1598.3365733541821</v>
      </c>
      <c r="G173" s="161"/>
      <c r="H173" s="161"/>
      <c r="I173" s="161"/>
      <c r="J173" s="161"/>
      <c r="K173" s="161"/>
      <c r="L173" s="161"/>
      <c r="M173" s="161"/>
      <c r="N173" s="161"/>
      <c r="O173" s="161">
        <f>(H181/1000)*8.9</f>
        <v>3.965662</v>
      </c>
      <c r="P173" s="152">
        <f>(P175+O177)/2</f>
        <v>966.0682244949719</v>
      </c>
      <c r="Q173" s="149">
        <f>H181/(Q180*1000)</f>
        <v>0.11234997478567826</v>
      </c>
      <c r="R173" s="171"/>
      <c r="S173" s="151"/>
      <c r="T173" s="163">
        <f>(T171-T170)+T166-T169</f>
        <v>-28.339491499342643</v>
      </c>
      <c r="U173" s="163">
        <f>T174+(T173*-1)+T172</f>
        <v>-96.788649292762443</v>
      </c>
      <c r="V173" s="154">
        <f>(U173/10)</f>
        <v>-9.6788649292762443</v>
      </c>
      <c r="W173" s="154"/>
      <c r="X173" s="154"/>
      <c r="Y173" s="161">
        <f>(AJ179*-1)</f>
        <v>1105.5334332480684</v>
      </c>
      <c r="Z173" s="161"/>
      <c r="AA173" s="161"/>
      <c r="AB173" s="161"/>
      <c r="AC173" s="161"/>
      <c r="AD173" s="161"/>
      <c r="AE173" s="161"/>
      <c r="AF173" s="161"/>
      <c r="AG173" s="161"/>
      <c r="AH173" s="161">
        <f>(AA181/1000)*8.9</f>
        <v>2.2472500000000002</v>
      </c>
      <c r="AI173" s="152">
        <f>(AI175+AH177)/2</f>
        <v>965.93276657387946</v>
      </c>
      <c r="AJ173" s="149">
        <f>AA181/(AJ180*1000)</f>
        <v>0.11237205162438807</v>
      </c>
      <c r="AK173" s="171"/>
      <c r="AL173" s="151"/>
      <c r="AM173" s="163">
        <f>(AM171-AM170)+AM166-AM169</f>
        <v>-28.355877003042281</v>
      </c>
      <c r="AN173" s="163">
        <f>AM174+(AM173*-1)+AM172</f>
        <v>-96.818441117670829</v>
      </c>
      <c r="AO173" s="154">
        <f>(AN173/10)</f>
        <v>-9.6818441117670826</v>
      </c>
      <c r="AP173" s="154"/>
      <c r="AQ173" s="154"/>
      <c r="AR173" s="161">
        <f>(BC179*-1)</f>
        <v>2180.5265263030724</v>
      </c>
      <c r="AS173" s="161"/>
      <c r="AT173" s="161"/>
      <c r="AU173" s="161"/>
      <c r="AV173" s="161"/>
      <c r="AW173" s="161"/>
      <c r="AX173" s="161"/>
      <c r="AY173" s="161"/>
      <c r="AZ173" s="161"/>
      <c r="BA173" s="161">
        <f>(AT181/1000)*8.9</f>
        <v>4.9879160000000002</v>
      </c>
      <c r="BB173" s="152">
        <f>(BB175+BA177)/2</f>
        <v>1215.0332506279751</v>
      </c>
      <c r="BC173" s="149">
        <f>AT181/(BC180*1000)</f>
        <v>0.11235765838011227</v>
      </c>
      <c r="BD173" s="171"/>
      <c r="BE173" s="151"/>
      <c r="BF173" s="163">
        <f>(BF171-BF170)+BF166-BF169</f>
        <v>-28.32672060875683</v>
      </c>
      <c r="BG173" s="163">
        <f>BF174+(BF173*-1)+BF172</f>
        <v>-96.765429491697319</v>
      </c>
      <c r="BH173" s="154">
        <f>(BG173/10)</f>
        <v>-9.6765429491697326</v>
      </c>
      <c r="BI173" s="154"/>
      <c r="BJ173" s="154"/>
      <c r="BK173" s="161">
        <f>(BV179*-1)</f>
        <v>1522.5084334916467</v>
      </c>
      <c r="BL173" s="161"/>
      <c r="BM173" s="161"/>
      <c r="BN173" s="161"/>
      <c r="BO173" s="161"/>
      <c r="BP173" s="161"/>
      <c r="BQ173" s="161"/>
      <c r="BR173" s="161"/>
      <c r="BS173" s="161"/>
      <c r="BT173" s="161">
        <f>(BM181/1000)*8.9</f>
        <v>2.8264619999999998</v>
      </c>
      <c r="BU173" s="152">
        <f>(BU175+BT177)/2</f>
        <v>1214.8526400665185</v>
      </c>
      <c r="BV173" s="149">
        <f>BM181/(BV180*1000)</f>
        <v>0.11237791932059447</v>
      </c>
      <c r="BW173" s="171"/>
      <c r="BX173" s="151"/>
      <c r="BY173" s="797"/>
      <c r="BZ173" s="797"/>
      <c r="CA173" s="797"/>
      <c r="CB173" s="797"/>
      <c r="CC173" s="797"/>
      <c r="CD173" s="797"/>
      <c r="CE173" s="797"/>
      <c r="CF173" s="797"/>
      <c r="CG173" s="797"/>
      <c r="CH173" s="797"/>
      <c r="CI173" s="797"/>
      <c r="CJ173" s="797"/>
      <c r="CK173" s="797"/>
      <c r="CL173" s="797"/>
      <c r="CM173" s="797"/>
      <c r="CN173" s="797"/>
      <c r="CO173" s="797"/>
      <c r="CP173" s="797"/>
      <c r="CQ173" s="797"/>
      <c r="CR173" s="797"/>
      <c r="CS173" s="797"/>
      <c r="CT173" s="797"/>
      <c r="CU173" s="797"/>
    </row>
    <row r="174" spans="1:99" x14ac:dyDescent="0.25">
      <c r="A174" s="163">
        <f>(A173+A172)</f>
        <v>-76.786316172812803</v>
      </c>
      <c r="B174" s="154"/>
      <c r="C174" s="154">
        <f>((F174+E174*-1)+E178)*10-A167+O174*-1-C170*111</f>
        <v>10.289079458164521</v>
      </c>
      <c r="D174" s="154"/>
      <c r="E174" s="154">
        <f>(E178+O174+F174)</f>
        <v>-8.1194017859597345E-2</v>
      </c>
      <c r="F174" s="161">
        <f>(O174*E178)</f>
        <v>5.8450209057055078</v>
      </c>
      <c r="G174" s="161"/>
      <c r="H174" s="191">
        <f>(P175+H175)/2</f>
        <v>737.2213075125926</v>
      </c>
      <c r="I174" s="161"/>
      <c r="J174" s="161"/>
      <c r="K174" s="161"/>
      <c r="L174" s="161"/>
      <c r="M174" s="161"/>
      <c r="N174" s="161">
        <f>(A170-A166)-(A166-B171)</f>
        <v>15.834283297439214</v>
      </c>
      <c r="O174" s="152">
        <f>(P174+A167+C170*10)</f>
        <v>-1.2499276917741822</v>
      </c>
      <c r="P174" s="161">
        <f>E178</f>
        <v>-4.6762872317909228</v>
      </c>
      <c r="Q174" s="162">
        <f>(Q170*Q169*10)</f>
        <v>74.26773669606861</v>
      </c>
      <c r="R174" s="171"/>
      <c r="S174" s="151"/>
      <c r="T174" s="163">
        <f>(T173+T172)</f>
        <v>-76.733816145723864</v>
      </c>
      <c r="U174" s="154"/>
      <c r="V174" s="154">
        <f>((Y174+X174*-1)+X178)*10-T167+AH174*-1-V170*111</f>
        <v>10.231410283196391</v>
      </c>
      <c r="W174" s="154"/>
      <c r="X174" s="154">
        <f>(X178+AH174+Y174)</f>
        <v>-6.4423752230984732E-2</v>
      </c>
      <c r="Y174" s="161">
        <f>(AH174*X178)</f>
        <v>5.9247445230380169</v>
      </c>
      <c r="Z174" s="161"/>
      <c r="AA174" s="191">
        <f>(AI175+AA175)/2</f>
        <v>737.11904082148794</v>
      </c>
      <c r="AB174" s="161"/>
      <c r="AC174" s="161"/>
      <c r="AD174" s="161"/>
      <c r="AE174" s="161"/>
      <c r="AF174" s="161"/>
      <c r="AG174" s="161">
        <f>(T170-T166)-(T166-U171)</f>
        <v>15.805220782443513</v>
      </c>
      <c r="AH174" s="152">
        <f>(AI174+T167+V170*10)</f>
        <v>-1.2502247611486372</v>
      </c>
      <c r="AI174" s="161">
        <f>X178</f>
        <v>-4.7389435141203649</v>
      </c>
      <c r="AJ174" s="162">
        <f>(AJ170*AJ169*10)</f>
        <v>78.456572291712718</v>
      </c>
      <c r="AK174" s="171"/>
      <c r="AL174" s="151"/>
      <c r="AM174" s="163">
        <f>(AM173+AM172)</f>
        <v>-76.765097561877695</v>
      </c>
      <c r="AN174" s="154"/>
      <c r="AO174" s="154">
        <f>((AR174+AQ174*-1)+AQ178)*10-AM167+BA174*-1-AO170*111</f>
        <v>10.265793754688785</v>
      </c>
      <c r="AP174" s="154"/>
      <c r="AQ174" s="154">
        <f>(AQ178+BA174+AR174)</f>
        <v>-7.4416865852939829E-2</v>
      </c>
      <c r="AR174" s="161">
        <f>(BA174*AQ178)</f>
        <v>5.8772425236887083</v>
      </c>
      <c r="AS174" s="161"/>
      <c r="AT174" s="191">
        <f>(BB175+AT175)/2</f>
        <v>927.15110333290158</v>
      </c>
      <c r="AU174" s="161"/>
      <c r="AV174" s="161"/>
      <c r="AW174" s="161"/>
      <c r="AX174" s="161"/>
      <c r="AY174" s="161"/>
      <c r="AZ174" s="161">
        <f>(AM170-AM166)-(AM166-AN171)</f>
        <v>15.822537280671582</v>
      </c>
      <c r="BA174" s="152">
        <f>(BB174+AM167+AO170*10)</f>
        <v>-1.2500487560097344</v>
      </c>
      <c r="BB174" s="161">
        <f>AQ178</f>
        <v>-4.7016106335319137</v>
      </c>
      <c r="BC174" s="162">
        <f>(BC170*BC169*10)</f>
        <v>75.946015406075674</v>
      </c>
      <c r="BD174" s="171"/>
      <c r="BE174" s="151"/>
      <c r="BF174" s="163">
        <f>(BF173+BF172)</f>
        <v>-76.709435354605489</v>
      </c>
      <c r="BG174" s="154"/>
      <c r="BH174" s="154">
        <f>((BK174+BJ174*-1)+BJ178)*10-BF167+BT174*-1-BH170*111</f>
        <v>10.204568226652748</v>
      </c>
      <c r="BI174" s="154"/>
      <c r="BJ174" s="154">
        <f>(BJ178+BT174+BK174)</f>
        <v>-5.6633408779088512E-2</v>
      </c>
      <c r="BK174" s="161">
        <f>(BT174*BJ178)</f>
        <v>5.9617673892759804</v>
      </c>
      <c r="BL174" s="161"/>
      <c r="BM174" s="191">
        <f>(BU175+BM175)/2</f>
        <v>927.01475048127122</v>
      </c>
      <c r="BN174" s="161"/>
      <c r="BO174" s="161"/>
      <c r="BP174" s="161"/>
      <c r="BQ174" s="161"/>
      <c r="BR174" s="161"/>
      <c r="BS174" s="161">
        <f>(BF170-BF166)-(BF166-BG171)</f>
        <v>15.791724273074436</v>
      </c>
      <c r="BT174" s="152">
        <f>(BU174+BF167+BH170*10)</f>
        <v>-1.2503599707249859</v>
      </c>
      <c r="BU174" s="161">
        <f>BJ178</f>
        <v>-4.7680408273300827</v>
      </c>
      <c r="BV174" s="162">
        <f>(BV170*BV169*10)</f>
        <v>80.443343740684682</v>
      </c>
      <c r="BW174" s="171"/>
      <c r="BX174" s="151"/>
      <c r="BY174" s="797"/>
      <c r="BZ174" s="797"/>
      <c r="CA174" s="797"/>
      <c r="CB174" s="797"/>
      <c r="CC174" s="797"/>
      <c r="CD174" s="797"/>
      <c r="CE174" s="797"/>
      <c r="CF174" s="797"/>
      <c r="CG174" s="797"/>
      <c r="CH174" s="797"/>
      <c r="CI174" s="797"/>
      <c r="CJ174" s="797"/>
      <c r="CK174" s="797"/>
      <c r="CL174" s="797"/>
      <c r="CM174" s="797"/>
      <c r="CN174" s="797"/>
      <c r="CO174" s="797"/>
      <c r="CP174" s="797"/>
      <c r="CQ174" s="797"/>
      <c r="CR174" s="797"/>
      <c r="CS174" s="797"/>
      <c r="CT174" s="797"/>
      <c r="CU174" s="797"/>
    </row>
    <row r="175" spans="1:99" x14ac:dyDescent="0.25">
      <c r="A175" s="163">
        <f>(A166+A174)</f>
        <v>147.91379976827952</v>
      </c>
      <c r="B175" s="154">
        <f>(A166+A175)/2</f>
        <v>186.30695785468592</v>
      </c>
      <c r="C175" s="154">
        <f>(E171-A166)-(A166-B175)</f>
        <v>-39.248912188951806</v>
      </c>
      <c r="D175" s="163">
        <f>(B171+C171)/2</f>
        <v>217.97552444956438</v>
      </c>
      <c r="E175" s="163">
        <f>(A170+A176)</f>
        <v>450.25598598473005</v>
      </c>
      <c r="F175" s="191">
        <f>(G172*2)-G179</f>
        <v>2991.2089847480133</v>
      </c>
      <c r="G175" s="191">
        <f>(A167*F175)</f>
        <v>10238.957441075145</v>
      </c>
      <c r="H175" s="191">
        <f>(N177+P175)/2</f>
        <v>491.80615026853849</v>
      </c>
      <c r="I175" s="191"/>
      <c r="J175" s="191"/>
      <c r="K175" s="191"/>
      <c r="L175" s="191"/>
      <c r="M175" s="191"/>
      <c r="N175" s="191">
        <f>(O175+O176)/2</f>
        <v>997.38608741101325</v>
      </c>
      <c r="O175" s="152">
        <f>(A169+C171)/2*Q180/Q172</f>
        <v>943.97723747940563</v>
      </c>
      <c r="P175" s="152">
        <f>B168*Q180/Q172</f>
        <v>982.63646475664677</v>
      </c>
      <c r="Q175" s="149">
        <f>(A171+B168)/2</f>
        <v>213.81819526567261</v>
      </c>
      <c r="R175" s="171"/>
      <c r="S175" s="151"/>
      <c r="T175" s="163">
        <f>(T166+T174)</f>
        <v>148.00629981600773</v>
      </c>
      <c r="U175" s="154">
        <f>(T166+T175)/2</f>
        <v>186.37320788886967</v>
      </c>
      <c r="V175" s="154">
        <f>(X171-T166)-(T166-U175)</f>
        <v>-39.238287183469538</v>
      </c>
      <c r="W175" s="163">
        <f>(U171+V171)/2</f>
        <v>217.9836494537567</v>
      </c>
      <c r="X175" s="163">
        <f>(T170+T176)</f>
        <v>450.3516110340708</v>
      </c>
      <c r="Y175" s="191">
        <f>(Z172*2)-Z179</f>
        <v>3122.7452400716102</v>
      </c>
      <c r="Z175" s="191">
        <f>(T167*Y175)</f>
        <v>10884.379879791026</v>
      </c>
      <c r="AA175" s="191">
        <f>(AG177+AI175)/2</f>
        <v>491.73795842152435</v>
      </c>
      <c r="AB175" s="191"/>
      <c r="AC175" s="191"/>
      <c r="AD175" s="191"/>
      <c r="AE175" s="191"/>
      <c r="AF175" s="191"/>
      <c r="AG175" s="191">
        <f>(AH175+AH176)/2</f>
        <v>997.26605222263163</v>
      </c>
      <c r="AH175" s="152">
        <f>(T169+V171)/2*AJ180/AJ172</f>
        <v>943.84295771045026</v>
      </c>
      <c r="AI175" s="152">
        <f>U168*AJ180/AJ172</f>
        <v>982.50012322145142</v>
      </c>
      <c r="AJ175" s="149">
        <f>(T171+U168)/2</f>
        <v>213.84132027760467</v>
      </c>
      <c r="AK175" s="171"/>
      <c r="AL175" s="151"/>
      <c r="AM175" s="163">
        <f>(AM166+AM174)</f>
        <v>147.95118493992712</v>
      </c>
      <c r="AN175" s="154">
        <f>(AM166+AM175)/2</f>
        <v>186.33373372086595</v>
      </c>
      <c r="AO175" s="154">
        <f>(AQ171-AM166)-(AM166-AN175)</f>
        <v>-39.244617946262565</v>
      </c>
      <c r="AP175" s="163">
        <f>(AN171+AO171)/2</f>
        <v>217.97880828220912</v>
      </c>
      <c r="AQ175" s="163">
        <f>(AM170+AM176)</f>
        <v>450.29463416893333</v>
      </c>
      <c r="AR175" s="191">
        <f>(AS172*2)-AS179</f>
        <v>3043.939670328019</v>
      </c>
      <c r="AS175" s="191">
        <f>(AM167*AR175)</f>
        <v>10496.346123581621</v>
      </c>
      <c r="AT175" s="191">
        <f>(AZ177+BB175)/2</f>
        <v>618.43018985943286</v>
      </c>
      <c r="AU175" s="191"/>
      <c r="AV175" s="191"/>
      <c r="AW175" s="191"/>
      <c r="AX175" s="191"/>
      <c r="AY175" s="191"/>
      <c r="AZ175" s="191">
        <f>(BA175+BA176)/2</f>
        <v>1254.4321000096534</v>
      </c>
      <c r="BA175" s="152">
        <f>(AM169+AO171)/2*BC180/BC172</f>
        <v>1187.2482290567818</v>
      </c>
      <c r="BB175" s="152">
        <f>AN168*BC180/BC172</f>
        <v>1235.8720168063703</v>
      </c>
      <c r="BC175" s="149">
        <f>(AM171+AN168)/2</f>
        <v>213.82754155858453</v>
      </c>
      <c r="BD175" s="171"/>
      <c r="BE175" s="151"/>
      <c r="BF175" s="163">
        <f>(BF166+BF174)</f>
        <v>148.04925644797817</v>
      </c>
      <c r="BG175" s="154">
        <f>(BF166+BF175)/2</f>
        <v>186.40397412528091</v>
      </c>
      <c r="BH175" s="154">
        <f>(BJ171-BF166)-(BF166-BG175)</f>
        <v>-39.233352975743202</v>
      </c>
      <c r="BI175" s="163">
        <f>(BG171+BH171)/2</f>
        <v>217.98742267142978</v>
      </c>
      <c r="BJ175" s="163">
        <f>(BF170+BF176)</f>
        <v>450.3960189036078</v>
      </c>
      <c r="BK175" s="191">
        <f>(BL172*2)-BL179</f>
        <v>3185.0553703379569</v>
      </c>
      <c r="BL175" s="191">
        <f>(BF167*BK175)</f>
        <v>11194.008303465089</v>
      </c>
      <c r="BM175" s="191">
        <f>(BS177+BU175)/2</f>
        <v>618.33927286976598</v>
      </c>
      <c r="BN175" s="191"/>
      <c r="BO175" s="191"/>
      <c r="BP175" s="191"/>
      <c r="BQ175" s="191"/>
      <c r="BR175" s="191"/>
      <c r="BS175" s="191">
        <f>(BT175+BT176)/2</f>
        <v>1254.2720530918114</v>
      </c>
      <c r="BT175" s="152">
        <f>(BF169+BH171)/2*BV180/BV172</f>
        <v>1187.0691893648413</v>
      </c>
      <c r="BU175" s="152">
        <f>BG168*BV180/BV172</f>
        <v>1235.6902280927764</v>
      </c>
      <c r="BV175" s="149">
        <f>(BF171+BG168)/2</f>
        <v>213.85205943559728</v>
      </c>
      <c r="BW175" s="171"/>
      <c r="BX175" s="151"/>
      <c r="BY175" s="797"/>
      <c r="BZ175" s="797"/>
      <c r="CA175" s="797"/>
      <c r="CB175" s="797"/>
      <c r="CC175" s="797"/>
      <c r="CD175" s="797"/>
      <c r="CE175" s="797"/>
      <c r="CF175" s="797"/>
      <c r="CG175" s="797"/>
      <c r="CH175" s="797"/>
      <c r="CI175" s="797"/>
      <c r="CJ175" s="797"/>
      <c r="CK175" s="797"/>
      <c r="CL175" s="797"/>
      <c r="CM175" s="797"/>
      <c r="CN175" s="797"/>
      <c r="CO175" s="797"/>
      <c r="CP175" s="797"/>
      <c r="CQ175" s="797"/>
      <c r="CR175" s="797"/>
      <c r="CS175" s="797"/>
      <c r="CT175" s="797"/>
      <c r="CU175" s="797"/>
    </row>
    <row r="176" spans="1:99" x14ac:dyDescent="0.25">
      <c r="A176" s="163">
        <f>((A171+A170+A169+A168)/4-A171-A166)*-1</f>
        <v>205.50353689788915</v>
      </c>
      <c r="B176" s="154">
        <f>(B171+C171)/2</f>
        <v>217.97552444956438</v>
      </c>
      <c r="C176" s="154">
        <f>(E178+A167)</f>
        <v>-1.2532708216093056</v>
      </c>
      <c r="D176" s="163">
        <f>(A178+D177+A170+D177)/2</f>
        <v>379.88460131145177</v>
      </c>
      <c r="E176" s="163">
        <f>(A171+D177+A170)/3</f>
        <v>201.45692624230261</v>
      </c>
      <c r="F176" s="191">
        <f>(O176+P175)/2</f>
        <v>1016.7157010496338</v>
      </c>
      <c r="G176" s="149"/>
      <c r="H176" s="191">
        <f>(O176+P175+N175)/3</f>
        <v>1010.2724965034271</v>
      </c>
      <c r="I176" s="191"/>
      <c r="J176" s="191"/>
      <c r="K176" s="191"/>
      <c r="L176" s="191"/>
      <c r="M176" s="191"/>
      <c r="N176" s="191">
        <f>((A176+A170)/2)*Q180/Q172</f>
        <v>992.06402245302183</v>
      </c>
      <c r="O176" s="152">
        <f>((A177+A168)/2)*Q180/Q172</f>
        <v>1050.7949373426209</v>
      </c>
      <c r="P176" s="152">
        <f>B167*Q180/Q172</f>
        <v>960.54547774108028</v>
      </c>
      <c r="Q176" s="162">
        <f>A167+E178</f>
        <v>-1.2532708216093056</v>
      </c>
      <c r="R176" s="171"/>
      <c r="S176" s="151"/>
      <c r="T176" s="163">
        <f>((T171+T170+T169+T168)/4-T171-T166)*-1</f>
        <v>205.55666192530063</v>
      </c>
      <c r="U176" s="154">
        <f>(U171+V171)/2</f>
        <v>217.9836494537567</v>
      </c>
      <c r="V176" s="154">
        <f>(X178+T167)</f>
        <v>-1.253427071689913</v>
      </c>
      <c r="W176" s="163">
        <f>(T178+W177+T170+W177)/2</f>
        <v>379.97850760990565</v>
      </c>
      <c r="X176" s="163">
        <f>(T171+W177+T170)/3</f>
        <v>201.5002595979951</v>
      </c>
      <c r="Y176" s="191">
        <f>(AH176+AI175)/2</f>
        <v>1016.5946349781323</v>
      </c>
      <c r="Z176" s="149"/>
      <c r="AA176" s="191">
        <f>(AH176+AI175+AG175)/3</f>
        <v>1010.151774059632</v>
      </c>
      <c r="AB176" s="191"/>
      <c r="AC176" s="191"/>
      <c r="AD176" s="191"/>
      <c r="AE176" s="191"/>
      <c r="AF176" s="191"/>
      <c r="AG176" s="191">
        <f>((T176+T170)/2)*AJ180/AJ172</f>
        <v>992.09810783682053</v>
      </c>
      <c r="AH176" s="152">
        <f>((T177+T168)/2)*AJ180/AJ172</f>
        <v>1050.689146734813</v>
      </c>
      <c r="AI176" s="152">
        <f>U167*AJ180/AJ172</f>
        <v>960.41031435802211</v>
      </c>
      <c r="AJ176" s="162">
        <f>T167+X178</f>
        <v>-1.253427071689913</v>
      </c>
      <c r="AK176" s="171"/>
      <c r="AL176" s="151"/>
      <c r="AM176" s="163">
        <f>((AM171+AM170+AM169+AM168)/4-AM171-AM166)*-1</f>
        <v>205.52500811133538</v>
      </c>
      <c r="AN176" s="154">
        <f>(AN171+AO171)/2</f>
        <v>217.97880828220912</v>
      </c>
      <c r="AO176" s="154">
        <f>(AQ178+AM167)</f>
        <v>-1.2533339722370727</v>
      </c>
      <c r="AP176" s="163">
        <f>(AM178+AP177+AM170+AP177)/2</f>
        <v>379.92255483874948</v>
      </c>
      <c r="AQ176" s="163">
        <f>(AM171+AP177+AM170)/3</f>
        <v>201.47444001640778</v>
      </c>
      <c r="AR176" s="191">
        <f>(BA176+BB175)/2</f>
        <v>1278.7439938844477</v>
      </c>
      <c r="AS176" s="149"/>
      <c r="AT176" s="191">
        <f>(BA176+BB175+AZ175)/3</f>
        <v>1270.6400292595163</v>
      </c>
      <c r="AU176" s="191"/>
      <c r="AV176" s="191"/>
      <c r="AW176" s="191"/>
      <c r="AX176" s="191"/>
      <c r="AY176" s="191"/>
      <c r="AZ176" s="191">
        <f>((AM176+AM170)/2)*BC180/BC172</f>
        <v>1247.8164640192442</v>
      </c>
      <c r="BA176" s="152">
        <f>((AM177+AM168)/2)*BC180/BC172</f>
        <v>1321.6159709625251</v>
      </c>
      <c r="BB176" s="152">
        <f>AN167*BC180/BC172</f>
        <v>1208.0869952351768</v>
      </c>
      <c r="BC176" s="162">
        <f>AM167+AQ178</f>
        <v>-1.2533339722370727</v>
      </c>
      <c r="BD176" s="171"/>
      <c r="BE176" s="151"/>
      <c r="BF176" s="163">
        <f>((BF171+BF170+BF169+BF168)/4-BF171-BF166)*-1</f>
        <v>205.58133296393228</v>
      </c>
      <c r="BG176" s="154">
        <f>(BG171+BH171)/2</f>
        <v>217.98742267142978</v>
      </c>
      <c r="BH176" s="154">
        <f>(BJ178+BF167)</f>
        <v>-1.2534996335682536</v>
      </c>
      <c r="BI176" s="163">
        <f>(BF178+BI177+BF170+BI177)/2</f>
        <v>380.02211729878104</v>
      </c>
      <c r="BJ176" s="163">
        <f>(BF171+BI177+BF170)/3</f>
        <v>201.5203834255849</v>
      </c>
      <c r="BK176" s="191">
        <f>(BT176+BU175)/2</f>
        <v>1278.582572455779</v>
      </c>
      <c r="BL176" s="149"/>
      <c r="BM176" s="191">
        <f>(BT176+BU175+BS175)/3</f>
        <v>1270.4790660011231</v>
      </c>
      <c r="BN176" s="191"/>
      <c r="BO176" s="191"/>
      <c r="BP176" s="191"/>
      <c r="BQ176" s="191"/>
      <c r="BR176" s="191"/>
      <c r="BS176" s="191">
        <f>((BF176+BF170)/2)*BV180/BV172</f>
        <v>1247.8619111976429</v>
      </c>
      <c r="BT176" s="152">
        <f>((BF177+BF168)/2)*BV180/BV172</f>
        <v>1321.4749168187814</v>
      </c>
      <c r="BU176" s="152">
        <f>BG167*BV180/BV172</f>
        <v>1207.9067773910992</v>
      </c>
      <c r="BV176" s="162">
        <f>BF167+BJ178</f>
        <v>-1.2534996335682536</v>
      </c>
      <c r="BW176" s="171"/>
      <c r="BX176" s="151"/>
      <c r="BY176" s="797"/>
      <c r="BZ176" s="797"/>
      <c r="CA176" s="797"/>
      <c r="CB176" s="797"/>
      <c r="CC176" s="797"/>
      <c r="CD176" s="797"/>
      <c r="CE176" s="797"/>
      <c r="CF176" s="797"/>
      <c r="CG176" s="797"/>
      <c r="CH176" s="797"/>
      <c r="CI176" s="797"/>
      <c r="CJ176" s="797"/>
      <c r="CK176" s="797"/>
      <c r="CL176" s="797"/>
      <c r="CM176" s="797"/>
      <c r="CN176" s="797"/>
      <c r="CO176" s="797"/>
      <c r="CP176" s="797"/>
      <c r="CQ176" s="797"/>
      <c r="CR176" s="797"/>
      <c r="CS176" s="797"/>
      <c r="CT176" s="797"/>
      <c r="CU176" s="797"/>
    </row>
    <row r="177" spans="1:99" x14ac:dyDescent="0.25">
      <c r="A177" s="163">
        <f>((A171+A170+A169+A168)/4-A171-A166*-1)</f>
        <v>243.89669498429549</v>
      </c>
      <c r="B177" s="154">
        <f>B168/2</f>
        <v>111.49430386800076</v>
      </c>
      <c r="C177" s="154">
        <f>(B167+C171)/2</f>
        <v>216.72225362795507</v>
      </c>
      <c r="D177" s="163">
        <f>(A176+A175+B177)/3</f>
        <v>154.97054684472315</v>
      </c>
      <c r="E177" s="163">
        <f>(A171+A170+B177)/3</f>
        <v>186.96484525006179</v>
      </c>
      <c r="F177" s="149">
        <f>E174+(C181*-1)-E174-E178</f>
        <v>1.9653666899554434</v>
      </c>
      <c r="G177" s="149"/>
      <c r="H177" s="191">
        <f>(P177+N177)/2</f>
        <v>345.25585639506596</v>
      </c>
      <c r="I177" s="149"/>
      <c r="J177" s="149"/>
      <c r="K177" s="149"/>
      <c r="L177" s="149"/>
      <c r="M177" s="149"/>
      <c r="N177" s="191">
        <f>((N176+N175)/2/Q171)</f>
        <v>0.97583578043018138</v>
      </c>
      <c r="O177" s="152">
        <f>((A169+D175)/2)*Q180/Q172</f>
        <v>949.49998423329714</v>
      </c>
      <c r="P177" s="152">
        <f>((B177+E176)/2)*Q180/Q172</f>
        <v>689.53587700970172</v>
      </c>
      <c r="Q177" s="162">
        <f>(Q176*Q174/10)</f>
        <v>-9.3077587388145471</v>
      </c>
      <c r="R177" s="171"/>
      <c r="S177" s="151"/>
      <c r="T177" s="163">
        <f>((T171+T170+T169+T168)/4-T171-T166*-1)</f>
        <v>243.92356999816255</v>
      </c>
      <c r="U177" s="154">
        <f>U168/2</f>
        <v>111.49867887025817</v>
      </c>
      <c r="V177" s="154">
        <f>(U167+V171)/2</f>
        <v>216.73022238206678</v>
      </c>
      <c r="W177" s="163">
        <f>(T176+T175+U177)/3</f>
        <v>155.02054687052217</v>
      </c>
      <c r="X177" s="163">
        <f>(T171+T170+U177)/3</f>
        <v>186.99297026457376</v>
      </c>
      <c r="Y177" s="149">
        <f>X174+(V181*-1)-X174-X178</f>
        <v>1.970353797316756</v>
      </c>
      <c r="Z177" s="149"/>
      <c r="AA177" s="191">
        <f>(AI177+AG177)/2</f>
        <v>345.24702168244823</v>
      </c>
      <c r="AB177" s="149"/>
      <c r="AC177" s="149"/>
      <c r="AD177" s="149"/>
      <c r="AE177" s="149"/>
      <c r="AF177" s="149"/>
      <c r="AG177" s="191">
        <f>((AG176+AG175)/2/AJ171)</f>
        <v>0.97579362159733751</v>
      </c>
      <c r="AH177" s="152">
        <f>((T169+W175)/2)*AJ180/AJ172</f>
        <v>949.36540992630739</v>
      </c>
      <c r="AI177" s="152">
        <f>((U177+X176)/2)*AJ180/AJ172</f>
        <v>689.51824974329918</v>
      </c>
      <c r="AJ177" s="162">
        <f>(AJ176*AJ174/10)</f>
        <v>-9.8339591662429449</v>
      </c>
      <c r="AK177" s="171"/>
      <c r="AL177" s="151"/>
      <c r="AM177" s="163">
        <f>((AM171+AM170+AM169+AM168)/4-AM171-AM166*-1)</f>
        <v>243.90755689227424</v>
      </c>
      <c r="AN177" s="154">
        <f>AN168/2</f>
        <v>111.4960720855787</v>
      </c>
      <c r="AO177" s="154">
        <f>(AN167+AO171)/2</f>
        <v>216.72547430997204</v>
      </c>
      <c r="AP177" s="163">
        <f>(AM176+AM175+AN177)/3</f>
        <v>154.99075504561372</v>
      </c>
      <c r="AQ177" s="163">
        <f>(AM171+AM170+AN177)/3</f>
        <v>186.97621236306279</v>
      </c>
      <c r="AR177" s="149">
        <f>AQ174+(AO181*-1)-AQ174-AQ178</f>
        <v>1.9674043882206984</v>
      </c>
      <c r="AS177" s="149"/>
      <c r="AT177" s="191">
        <f>(BB177+AZ177)/2</f>
        <v>434.13221322422237</v>
      </c>
      <c r="AU177" s="149"/>
      <c r="AV177" s="149"/>
      <c r="AW177" s="149"/>
      <c r="AX177" s="149"/>
      <c r="AY177" s="149"/>
      <c r="AZ177" s="191">
        <f>((AZ176+AZ175)/2/BC171)</f>
        <v>0.9883629124953649</v>
      </c>
      <c r="BA177" s="152">
        <f>((AM169+AP175)/2)*BC180/BC172</f>
        <v>1194.1944844495799</v>
      </c>
      <c r="BB177" s="152">
        <f>((AN177+AQ176)/2)*BC180/BC172</f>
        <v>867.27606353594933</v>
      </c>
      <c r="BC177" s="162">
        <f>(BC176*BC174/10)</f>
        <v>-9.5185721164474746</v>
      </c>
      <c r="BD177" s="171"/>
      <c r="BE177" s="151"/>
      <c r="BF177" s="163">
        <f>((BF171+BF170+BF169+BF168)/4-BF171-BF166*-1)</f>
        <v>243.93605064123503</v>
      </c>
      <c r="BG177" s="154">
        <f>BG168/2</f>
        <v>111.50071060285137</v>
      </c>
      <c r="BH177" s="154">
        <f>(BG167+BH171)/2</f>
        <v>216.73392303786153</v>
      </c>
      <c r="BI177" s="163">
        <f>(BF176+BF175+BG177)/3</f>
        <v>155.04376667158729</v>
      </c>
      <c r="BJ177" s="163">
        <f>(BF171+BF170+BG177)/3</f>
        <v>187.0060314026729</v>
      </c>
      <c r="BK177" s="149">
        <f>BJ174+(BH181*-1)-BJ174-BJ178</f>
        <v>1.9726090539828309</v>
      </c>
      <c r="BL177" s="149"/>
      <c r="BM177" s="191">
        <f>(BU177+BS177)/2</f>
        <v>434.1204390804175</v>
      </c>
      <c r="BN177" s="149"/>
      <c r="BO177" s="149"/>
      <c r="BP177" s="149"/>
      <c r="BQ177" s="149"/>
      <c r="BR177" s="149"/>
      <c r="BS177" s="191">
        <f>((BS176+BS175)/2/BV171)</f>
        <v>0.98831764675563161</v>
      </c>
      <c r="BT177" s="152">
        <f>((BF169+BI175)/2)*BV180/BV172</f>
        <v>1194.0150520402606</v>
      </c>
      <c r="BU177" s="152">
        <f>((BG177+BJ176)/2)*BV180/BV172</f>
        <v>867.25256051407939</v>
      </c>
      <c r="BV177" s="162">
        <f>(BV176*BV174/10)</f>
        <v>-10.083570190195331</v>
      </c>
      <c r="BW177" s="171"/>
      <c r="BX177" s="151"/>
      <c r="BY177" s="797"/>
      <c r="BZ177" s="797"/>
      <c r="CA177" s="797"/>
      <c r="CB177" s="797"/>
      <c r="CC177" s="797"/>
      <c r="CD177" s="797"/>
      <c r="CE177" s="797"/>
      <c r="CF177" s="797"/>
      <c r="CG177" s="797"/>
      <c r="CH177" s="797"/>
      <c r="CI177" s="797"/>
      <c r="CJ177" s="797"/>
      <c r="CK177" s="797"/>
      <c r="CL177" s="797"/>
      <c r="CM177" s="797"/>
      <c r="CN177" s="797"/>
      <c r="CO177" s="797"/>
      <c r="CP177" s="797"/>
      <c r="CQ177" s="797"/>
      <c r="CR177" s="797"/>
      <c r="CS177" s="797"/>
      <c r="CT177" s="797"/>
      <c r="CU177" s="797"/>
    </row>
    <row r="178" spans="1:99" x14ac:dyDescent="0.25">
      <c r="A178" s="163">
        <f>(A171+A176)/2</f>
        <v>205.07565984661642</v>
      </c>
      <c r="B178" s="154">
        <f>(A168+B170)/2</f>
        <v>230.50823266565723</v>
      </c>
      <c r="C178" s="154">
        <f>(A167*C170)</f>
        <v>1.1443588286994865E-3</v>
      </c>
      <c r="D178" s="154">
        <f>(A168+B178)/2</f>
        <v>231.76150348726651</v>
      </c>
      <c r="E178" s="154">
        <f>(D178-A166)-(A166-A169)</f>
        <v>-4.6762872317909228</v>
      </c>
      <c r="F178" s="191">
        <f>(N178+H178)/2</f>
        <v>1031.0608397511483</v>
      </c>
      <c r="G178" s="149"/>
      <c r="H178" s="314">
        <f>A177*Q180/Q172</f>
        <v>1074.7714358974622</v>
      </c>
      <c r="I178" s="149"/>
      <c r="J178" s="149"/>
      <c r="K178" s="149"/>
      <c r="L178" s="149"/>
      <c r="M178" s="149"/>
      <c r="N178" s="191">
        <f>(N176+P175)/2</f>
        <v>987.3502436048343</v>
      </c>
      <c r="O178" s="152">
        <f>((E175+A175)/2)*Q180/Q172</f>
        <v>1317.9674279424646</v>
      </c>
      <c r="P178" s="152">
        <f>((E176+E178/10)/2)*Q180/Q172</f>
        <v>442.84641886713547</v>
      </c>
      <c r="Q178" s="163">
        <f>(Q177+C181)</f>
        <v>-6.5968381969790677</v>
      </c>
      <c r="R178" s="171"/>
      <c r="S178" s="151"/>
      <c r="T178" s="163">
        <f>(T171+T176)/2</f>
        <v>205.12097236999682</v>
      </c>
      <c r="U178" s="154">
        <f>(T168+U170)/2</f>
        <v>230.51792017065583</v>
      </c>
      <c r="V178" s="154">
        <f>(T167*V170)</f>
        <v>1.1161706045384999E-3</v>
      </c>
      <c r="W178" s="154">
        <f>(T168+U178)/2</f>
        <v>231.77134724234574</v>
      </c>
      <c r="X178" s="154">
        <f>(W178-T166)-(T166-T169)</f>
        <v>-4.7389435141203649</v>
      </c>
      <c r="Y178" s="191">
        <f>(AG178+AA178)/2</f>
        <v>1030.998834025226</v>
      </c>
      <c r="Z178" s="149"/>
      <c r="AA178" s="314">
        <f>T177*AJ180/AJ172</f>
        <v>1074.6985525213161</v>
      </c>
      <c r="AB178" s="149"/>
      <c r="AC178" s="149"/>
      <c r="AD178" s="149"/>
      <c r="AE178" s="149"/>
      <c r="AF178" s="149"/>
      <c r="AG178" s="191">
        <f>(AG176+AI175)/2</f>
        <v>987.29911552913597</v>
      </c>
      <c r="AH178" s="152">
        <f>((X175+T175)/2)*AJ180/AJ172</f>
        <v>1318.1472800785552</v>
      </c>
      <c r="AI178" s="152">
        <f>((X176+X178/10)/2)*AJ180/AJ172</f>
        <v>442.8492575579138</v>
      </c>
      <c r="AJ178" s="163">
        <f>(AJ177+V181)</f>
        <v>-7.065369449439336</v>
      </c>
      <c r="AK178" s="171"/>
      <c r="AL178" s="151"/>
      <c r="AM178" s="163">
        <f>(AM171+AM176)/2</f>
        <v>205.09397352867353</v>
      </c>
      <c r="AN178" s="154">
        <f>(AM168+AN170)/2</f>
        <v>230.51214800457984</v>
      </c>
      <c r="AO178" s="154">
        <f>(AM167*AO170)</f>
        <v>1.1328334444037289E-3</v>
      </c>
      <c r="AP178" s="154">
        <f>(AM168+AN178)/2</f>
        <v>231.76548197681689</v>
      </c>
      <c r="AQ178" s="154">
        <f>(AP178-AM166)-(AM166-AM169)</f>
        <v>-4.7016106335319137</v>
      </c>
      <c r="AR178" s="191">
        <f>(AZ178+AT178)/2</f>
        <v>1296.8170611945502</v>
      </c>
      <c r="AS178" s="149"/>
      <c r="AT178" s="314">
        <f>AM177*BC180/BC172</f>
        <v>1351.7898819762931</v>
      </c>
      <c r="AU178" s="149"/>
      <c r="AV178" s="149"/>
      <c r="AW178" s="149"/>
      <c r="AX178" s="149"/>
      <c r="AY178" s="149"/>
      <c r="AZ178" s="191">
        <f>(AZ176+BB175)/2</f>
        <v>1241.8442404128073</v>
      </c>
      <c r="BA178" s="152">
        <f>((AQ175+AM175)/2)*BC180/BC172</f>
        <v>1657.8056365083312</v>
      </c>
      <c r="BB178" s="152">
        <f>((AQ176+AQ178/10)/2)*BC180/BC172</f>
        <v>557.00519078768684</v>
      </c>
      <c r="BC178" s="163">
        <f>(BC177+AO181)</f>
        <v>-6.7843658711362593</v>
      </c>
      <c r="BD178" s="171"/>
      <c r="BE178" s="151"/>
      <c r="BF178" s="163">
        <f>(BF171+BF176)/2</f>
        <v>205.14201531471207</v>
      </c>
      <c r="BG178" s="154">
        <f>(BF168+BG170)/2</f>
        <v>230.52241900711218</v>
      </c>
      <c r="BH178" s="154">
        <f>(BF167*BH170)</f>
        <v>1.1034474397187361E-3</v>
      </c>
      <c r="BI178" s="154">
        <f>(BF168+BG178)/2</f>
        <v>231.7759186406804</v>
      </c>
      <c r="BJ178" s="154">
        <f>(BI178-BF166)-(BF166-BF169)</f>
        <v>-4.7680408273300827</v>
      </c>
      <c r="BK178" s="191">
        <f>(BS178+BM178)/2</f>
        <v>1296.7343868933208</v>
      </c>
      <c r="BL178" s="149"/>
      <c r="BM178" s="314">
        <f>BF177*BV180/BV172</f>
        <v>1351.6927041414317</v>
      </c>
      <c r="BN178" s="149"/>
      <c r="BO178" s="149"/>
      <c r="BP178" s="149"/>
      <c r="BQ178" s="149"/>
      <c r="BR178" s="149"/>
      <c r="BS178" s="191">
        <f>(BS176+BU175)/2</f>
        <v>1241.7760696452096</v>
      </c>
      <c r="BT178" s="152">
        <f>((BJ175+BF175)/2)*BV180/BV172</f>
        <v>1658.0454393564528</v>
      </c>
      <c r="BU178" s="152">
        <f>((BJ176+BJ178/10)/2)*BV180/BV172</f>
        <v>557.00897570872496</v>
      </c>
      <c r="BV178" s="163">
        <f>(BV177+BH181)</f>
        <v>-7.2881384168480796</v>
      </c>
      <c r="BW178" s="171"/>
      <c r="BX178" s="151"/>
      <c r="BY178" s="797"/>
      <c r="BZ178" s="797"/>
      <c r="CA178" s="797"/>
      <c r="CB178" s="797"/>
      <c r="CC178" s="797"/>
      <c r="CD178" s="797"/>
      <c r="CE178" s="797"/>
      <c r="CF178" s="797"/>
      <c r="CG178" s="797"/>
      <c r="CH178" s="797"/>
      <c r="CI178" s="797"/>
      <c r="CJ178" s="797"/>
      <c r="CK178" s="797"/>
      <c r="CL178" s="797"/>
      <c r="CM178" s="797"/>
      <c r="CN178" s="797"/>
      <c r="CO178" s="797"/>
      <c r="CP178" s="797"/>
      <c r="CQ178" s="797"/>
      <c r="CR178" s="797"/>
      <c r="CS178" s="797"/>
      <c r="CT178" s="797"/>
      <c r="CU178" s="797"/>
    </row>
    <row r="179" spans="1:99" x14ac:dyDescent="0.25">
      <c r="A179" s="163">
        <f>(A167*-1)+A174</f>
        <v>-80.209332582994421</v>
      </c>
      <c r="B179" s="163">
        <f>(A180*-1)+A179</f>
        <v>-6.8460328203632344</v>
      </c>
      <c r="C179" s="163">
        <f>(B179/2)+A167</f>
        <v>0</v>
      </c>
      <c r="D179" s="154"/>
      <c r="E179" s="163">
        <f>(C179*A167)+D172</f>
        <v>7.7272081488153894</v>
      </c>
      <c r="F179" s="191">
        <f>A175*Q180/Q180</f>
        <v>147.91379976827952</v>
      </c>
      <c r="G179" s="191">
        <f>(E179+F179)</f>
        <v>155.6410079170949</v>
      </c>
      <c r="H179" s="149">
        <f>(O180+H177)/2</f>
        <v>1164.6919506505549</v>
      </c>
      <c r="I179" s="149"/>
      <c r="J179" s="149"/>
      <c r="K179" s="149"/>
      <c r="L179" s="149"/>
      <c r="M179" s="149"/>
      <c r="N179" s="191">
        <f>(O176+H176+O176)/3</f>
        <v>1037.2874570628896</v>
      </c>
      <c r="O179" s="152">
        <f>((B170+E178)/2)*Q180/Q172</f>
        <v>492.06030635206054</v>
      </c>
      <c r="P179" s="152">
        <f>D175*Q180/Q172</f>
        <v>960.54547774108028</v>
      </c>
      <c r="Q179" s="248">
        <f>((Q178*Q177*C181*-1)*Q180*Q169*Q170)*0.326</f>
        <v>-1598.3365733541821</v>
      </c>
      <c r="R179" s="171"/>
      <c r="S179" s="151"/>
      <c r="T179" s="163">
        <f>(T167*-1)+T174</f>
        <v>-80.219332588154316</v>
      </c>
      <c r="U179" s="163">
        <f>(T180*-1)+T179</f>
        <v>-6.9710328848609038</v>
      </c>
      <c r="V179" s="163">
        <f>(U179/2)+T167</f>
        <v>0</v>
      </c>
      <c r="W179" s="154"/>
      <c r="X179" s="163">
        <f>(V179*T167)+W172</f>
        <v>7.7592081653268004</v>
      </c>
      <c r="Y179" s="191">
        <f>T175*AJ180/AJ180</f>
        <v>148.00629981600773</v>
      </c>
      <c r="Z179" s="191">
        <f>(X179+Y179)</f>
        <v>155.76550798133454</v>
      </c>
      <c r="AA179" s="149">
        <f>(AH180+AA177)/2</f>
        <v>1164.7216186780447</v>
      </c>
      <c r="AB179" s="149"/>
      <c r="AC179" s="149"/>
      <c r="AD179" s="149"/>
      <c r="AE179" s="149"/>
      <c r="AF179" s="149"/>
      <c r="AG179" s="191">
        <f>(AH176+AA176+AH176)/3</f>
        <v>1037.1766891764194</v>
      </c>
      <c r="AH179" s="152">
        <f>((U170+X178)/2)*AJ180/AJ172</f>
        <v>491.85535224221633</v>
      </c>
      <c r="AI179" s="152">
        <f>W175*AJ180/AJ172</f>
        <v>960.41031435802211</v>
      </c>
      <c r="AJ179" s="248">
        <f>((AJ178*AJ177*V181*-1)*AJ180*AJ169*AJ170)*0.326</f>
        <v>-1105.5334332480684</v>
      </c>
      <c r="AK179" s="171"/>
      <c r="AL179" s="151"/>
      <c r="AM179" s="163">
        <f>(AM167*-1)+AM174</f>
        <v>-80.213374223172536</v>
      </c>
      <c r="AN179" s="163">
        <f>(AM180*-1)+AM179</f>
        <v>-6.896553322589682</v>
      </c>
      <c r="AO179" s="163">
        <f>(AN179/2)+AM167</f>
        <v>0</v>
      </c>
      <c r="AP179" s="154"/>
      <c r="AQ179" s="163">
        <f>(AO179*AM167)+AP172</f>
        <v>7.7401413973853579</v>
      </c>
      <c r="AR179" s="191">
        <f>AM175*BC180/BC180</f>
        <v>147.95118493992712</v>
      </c>
      <c r="AS179" s="191">
        <f>(AQ179+AR179)</f>
        <v>155.69132633731249</v>
      </c>
      <c r="AT179" s="149">
        <f>(BA180+AT177)/2</f>
        <v>1464.8825706313555</v>
      </c>
      <c r="AU179" s="149"/>
      <c r="AV179" s="149"/>
      <c r="AW179" s="149"/>
      <c r="AX179" s="149"/>
      <c r="AY179" s="149"/>
      <c r="AZ179" s="191">
        <f>(BA176+AT176+BA176)/3</f>
        <v>1304.6239903948556</v>
      </c>
      <c r="BA179" s="152">
        <f>((AN170+AQ178)/2)*BC180/BC172</f>
        <v>618.79983372208346</v>
      </c>
      <c r="BB179" s="152">
        <f>AP175*BC180/BC172</f>
        <v>1208.0869952351768</v>
      </c>
      <c r="BC179" s="248">
        <f>((BC178*BC177*AO181*-1)*BC180*BC169*BC170)*0.326</f>
        <v>-2180.5265263030724</v>
      </c>
      <c r="BD179" s="171"/>
      <c r="BE179" s="151"/>
      <c r="BF179" s="163">
        <f>(BF167*-1)+BF174</f>
        <v>-80.223976548367318</v>
      </c>
      <c r="BG179" s="163">
        <f>(BF180*-1)+BF179</f>
        <v>-7.0290823875236583</v>
      </c>
      <c r="BH179" s="163">
        <f>(BG179/2)+BF167</f>
        <v>0</v>
      </c>
      <c r="BI179" s="154"/>
      <c r="BJ179" s="163">
        <f>(BH179*BF167)+BI172</f>
        <v>7.7740688380084642</v>
      </c>
      <c r="BK179" s="191">
        <f>BF175*BV180/BV180</f>
        <v>148.04925644797817</v>
      </c>
      <c r="BL179" s="191">
        <f>(BJ179+BK179)</f>
        <v>155.82332528598664</v>
      </c>
      <c r="BM179" s="149">
        <f>(BT180+BM177)/2</f>
        <v>1464.9221307378516</v>
      </c>
      <c r="BN179" s="149"/>
      <c r="BO179" s="149"/>
      <c r="BP179" s="149"/>
      <c r="BQ179" s="149"/>
      <c r="BR179" s="149"/>
      <c r="BS179" s="191">
        <f>(BT176+BM176+BT176)/3</f>
        <v>1304.476299879562</v>
      </c>
      <c r="BT179" s="152">
        <f>((BG170+BJ178)/2)*BV180/BV172</f>
        <v>618.5265615756241</v>
      </c>
      <c r="BU179" s="152">
        <f>BI175*BV180/BV172</f>
        <v>1207.9067773910992</v>
      </c>
      <c r="BV179" s="248">
        <f>((BV178*BV177*BH181*-1)*BV180*BV169*BV170)*0.326</f>
        <v>-1522.5084334916467</v>
      </c>
      <c r="BW179" s="171"/>
      <c r="BX179" s="151"/>
      <c r="BY179" s="797"/>
      <c r="BZ179" s="797"/>
      <c r="CA179" s="797"/>
      <c r="CB179" s="797"/>
      <c r="CC179" s="797"/>
      <c r="CD179" s="797"/>
      <c r="CE179" s="797"/>
      <c r="CF179" s="797"/>
      <c r="CG179" s="797"/>
      <c r="CH179" s="797"/>
      <c r="CI179" s="797"/>
      <c r="CJ179" s="797"/>
      <c r="CK179" s="797"/>
      <c r="CL179" s="797"/>
      <c r="CM179" s="797"/>
      <c r="CN179" s="797"/>
      <c r="CO179" s="797"/>
      <c r="CP179" s="797"/>
      <c r="CQ179" s="797"/>
      <c r="CR179" s="797"/>
      <c r="CS179" s="797"/>
      <c r="CT179" s="797"/>
      <c r="CU179" s="797"/>
    </row>
    <row r="180" spans="1:99" x14ac:dyDescent="0.25">
      <c r="A180" s="163">
        <f>A167+A174</f>
        <v>-73.363299762631186</v>
      </c>
      <c r="B180" s="163">
        <f>(A181+(A179*-1)+A180)</f>
        <v>-146.72659952526237</v>
      </c>
      <c r="C180" s="154">
        <f>(B180/10)</f>
        <v>-14.672659952526237</v>
      </c>
      <c r="D180" s="154"/>
      <c r="E180" s="154">
        <f>((D176+B177)/2)*Q180</f>
        <v>974.40436897085442</v>
      </c>
      <c r="F180" s="149">
        <f>((E175+B177)/2)*Q180/Q172</f>
        <v>1237.7231386421836</v>
      </c>
      <c r="G180" s="149"/>
      <c r="H180" s="149">
        <f>(Q181/2)</f>
        <v>445.58032991118608</v>
      </c>
      <c r="I180" s="149"/>
      <c r="J180" s="149"/>
      <c r="K180" s="149"/>
      <c r="L180" s="149"/>
      <c r="M180" s="149"/>
      <c r="N180" s="191">
        <f>(Q181/2)/Q172</f>
        <v>495.08925545687339</v>
      </c>
      <c r="O180" s="152">
        <f>E175*Q180/Q172</f>
        <v>1984.1280449060437</v>
      </c>
      <c r="P180" s="152">
        <f>((B167+A170)/2)*Q180/Q172</f>
        <v>1019.5439683585464</v>
      </c>
      <c r="Q180" s="322">
        <f>ROUND(O173,N181)</f>
        <v>3.9660000000000002</v>
      </c>
      <c r="R180" s="171"/>
      <c r="S180" s="151"/>
      <c r="T180" s="163">
        <f>T167+T174</f>
        <v>-73.248299703293412</v>
      </c>
      <c r="U180" s="163">
        <f>(T181+(T179*-1)+T180)</f>
        <v>-146.49659940658682</v>
      </c>
      <c r="V180" s="154">
        <f>(U180/10)</f>
        <v>-14.649659940658683</v>
      </c>
      <c r="W180" s="154"/>
      <c r="X180" s="154">
        <f>((W176+U177)/2)*AJ180</f>
        <v>552.17461901046397</v>
      </c>
      <c r="Y180" s="149">
        <f>((X175+U177)/2)*AJ180/AJ172</f>
        <v>1237.7231386421834</v>
      </c>
      <c r="Z180" s="149"/>
      <c r="AA180" s="149">
        <f>(AJ181/2)</f>
        <v>252.49552028300542</v>
      </c>
      <c r="AB180" s="149"/>
      <c r="AC180" s="149"/>
      <c r="AD180" s="149"/>
      <c r="AE180" s="149"/>
      <c r="AF180" s="149"/>
      <c r="AG180" s="191">
        <f>(AJ181/2)/AJ172</f>
        <v>495.08925545687339</v>
      </c>
      <c r="AH180" s="152">
        <f>X175*AJ180/AJ172</f>
        <v>1984.1962156736411</v>
      </c>
      <c r="AI180" s="152">
        <f>((U167+T170)/2)*AJ180/AJ172</f>
        <v>1019.474030362743</v>
      </c>
      <c r="AJ180" s="322">
        <f>ROUND(AH173,AG181)</f>
        <v>2.2469999999999999</v>
      </c>
      <c r="AK180" s="171"/>
      <c r="AL180" s="151"/>
      <c r="AM180" s="163">
        <f>AM167+AM174</f>
        <v>-73.316820900582854</v>
      </c>
      <c r="AN180" s="163">
        <f>(AM181+(AM179*-1)+AM180)</f>
        <v>-146.63364180116571</v>
      </c>
      <c r="AO180" s="154">
        <f>(AN180/10)</f>
        <v>-14.66336418011657</v>
      </c>
      <c r="AP180" s="154"/>
      <c r="AQ180" s="154">
        <f>((AP176+AN177)/2)*BC180</f>
        <v>1225.5980555492745</v>
      </c>
      <c r="AR180" s="149">
        <f>((AQ175+AN177)/2)*BC180/BC172</f>
        <v>1556.784468220837</v>
      </c>
      <c r="AS180" s="149"/>
      <c r="AT180" s="149">
        <f>(BC181/2)</f>
        <v>560.44240855950125</v>
      </c>
      <c r="AU180" s="149"/>
      <c r="AV180" s="149"/>
      <c r="AW180" s="149"/>
      <c r="AX180" s="149"/>
      <c r="AY180" s="149"/>
      <c r="AZ180" s="191">
        <f>(BC181/2)/BC172</f>
        <v>622.71378728833474</v>
      </c>
      <c r="BA180" s="152">
        <f>AQ175*BC180/BC172</f>
        <v>2495.6329280384884</v>
      </c>
      <c r="BB180" s="152">
        <f>((AN167+AM170)/2)*BC180/BC172</f>
        <v>1282.3273280483099</v>
      </c>
      <c r="BC180" s="322">
        <f>ROUND(BA173,AZ181)</f>
        <v>4.9880000000000004</v>
      </c>
      <c r="BD180" s="171"/>
      <c r="BE180" s="151"/>
      <c r="BF180" s="163">
        <f>BF167+BF174</f>
        <v>-73.19489416084366</v>
      </c>
      <c r="BG180" s="163">
        <f>(BF181+(BF179*-1)+BF180)</f>
        <v>-146.38978832168732</v>
      </c>
      <c r="BH180" s="154">
        <f>(BG180/10)</f>
        <v>-14.638978832168732</v>
      </c>
      <c r="BI180" s="154"/>
      <c r="BJ180" s="154">
        <f>((BI176+BG177)/2)*BV180</f>
        <v>694.52175582500661</v>
      </c>
      <c r="BK180" s="149">
        <f>((BJ175+BG177)/2)*BV180/BV172</f>
        <v>1556.784468220837</v>
      </c>
      <c r="BL180" s="149"/>
      <c r="BM180" s="149">
        <f>(BV181/2)</f>
        <v>317.58403151705073</v>
      </c>
      <c r="BN180" s="149"/>
      <c r="BO180" s="149"/>
      <c r="BP180" s="149"/>
      <c r="BQ180" s="149"/>
      <c r="BR180" s="149"/>
      <c r="BS180" s="191">
        <f>(BV181/2)/BV172</f>
        <v>622.71378728833474</v>
      </c>
      <c r="BT180" s="152">
        <f>BJ175*BV180/BV172</f>
        <v>2495.7238223952859</v>
      </c>
      <c r="BU180" s="152">
        <f>((BG167+BF170)/2)*BV180/BV172</f>
        <v>1282.2340773872388</v>
      </c>
      <c r="BV180" s="322">
        <f>ROUND(BT173,BS181)</f>
        <v>2.8260000000000001</v>
      </c>
      <c r="BW180" s="171"/>
      <c r="BX180" s="151"/>
      <c r="BY180" s="797"/>
      <c r="BZ180" s="797"/>
      <c r="CA180" s="797"/>
      <c r="CB180" s="797"/>
      <c r="CC180" s="797"/>
      <c r="CD180" s="797"/>
      <c r="CE180" s="797"/>
      <c r="CF180" s="797"/>
      <c r="CG180" s="797"/>
      <c r="CH180" s="797"/>
      <c r="CI180" s="797"/>
      <c r="CJ180" s="797"/>
      <c r="CK180" s="797"/>
      <c r="CL180" s="797"/>
      <c r="CM180" s="797"/>
      <c r="CN180" s="797"/>
      <c r="CO180" s="797"/>
      <c r="CP180" s="797"/>
      <c r="CQ180" s="797"/>
      <c r="CR180" s="797"/>
      <c r="CS180" s="797"/>
      <c r="CT180" s="797"/>
      <c r="CU180" s="797"/>
    </row>
    <row r="181" spans="1:99" x14ac:dyDescent="0.25">
      <c r="A181" s="191">
        <f>(A179+A180)</f>
        <v>-153.57263234562561</v>
      </c>
      <c r="B181" s="149"/>
      <c r="C181" s="162">
        <f>INT(C174)-C174+N181</f>
        <v>2.7109205418354794</v>
      </c>
      <c r="D181" s="149"/>
      <c r="E181" s="191" t="s">
        <v>53</v>
      </c>
      <c r="F181" s="149">
        <f>((O181+B177+E175)/3)*Q180/Q172</f>
        <v>2507.5121295183599</v>
      </c>
      <c r="G181" s="149"/>
      <c r="H181" s="149">
        <f>ROUND(H180,2)</f>
        <v>445.58</v>
      </c>
      <c r="I181" s="149"/>
      <c r="J181" s="149"/>
      <c r="K181" s="149"/>
      <c r="L181" s="149"/>
      <c r="M181" s="149"/>
      <c r="N181" s="149">
        <v>3</v>
      </c>
      <c r="O181" s="152">
        <f>((B167+B177+E175)/3)*Q180/Q172</f>
        <v>1145.3305850084828</v>
      </c>
      <c r="P181" s="191">
        <f>(Q181/Q180)</f>
        <v>224.70011594109232</v>
      </c>
      <c r="Q181" s="152">
        <f>P167*Q172</f>
        <v>891.16065982237217</v>
      </c>
      <c r="R181" s="171"/>
      <c r="S181" s="151"/>
      <c r="T181" s="191">
        <f>(T179+T180)</f>
        <v>-153.46763229144773</v>
      </c>
      <c r="U181" s="149"/>
      <c r="V181" s="162">
        <f>INT(V174)-V174+AG181</f>
        <v>2.7685897168036089</v>
      </c>
      <c r="W181" s="149"/>
      <c r="X181" s="191" t="s">
        <v>53</v>
      </c>
      <c r="Y181" s="149">
        <f>((AH181+U177+X175)/3)*AJ180/AJ172</f>
        <v>2507.1465284674359</v>
      </c>
      <c r="Z181" s="149"/>
      <c r="AA181" s="149">
        <f>ROUND(AA180,2)</f>
        <v>252.5</v>
      </c>
      <c r="AB181" s="149"/>
      <c r="AC181" s="149"/>
      <c r="AD181" s="149"/>
      <c r="AE181" s="149"/>
      <c r="AF181" s="149"/>
      <c r="AG181" s="149">
        <v>3</v>
      </c>
      <c r="AH181" s="152">
        <f>((U167+U177+X175)/3)*AJ180/AJ172</f>
        <v>1145.2855305474632</v>
      </c>
      <c r="AI181" s="191">
        <f>(AJ181/AJ180)</f>
        <v>224.74011596173159</v>
      </c>
      <c r="AJ181" s="152">
        <f>AI167*AJ172</f>
        <v>504.99104056601084</v>
      </c>
      <c r="AK181" s="171"/>
      <c r="AL181" s="151"/>
      <c r="AM181" s="191">
        <f>(AM179+AM180)</f>
        <v>-153.53019512375539</v>
      </c>
      <c r="AN181" s="149"/>
      <c r="AO181" s="162">
        <f>INT(AO174)-AO174+AZ181</f>
        <v>2.7342062453112153</v>
      </c>
      <c r="AP181" s="149"/>
      <c r="AQ181" s="191" t="s">
        <v>53</v>
      </c>
      <c r="AR181" s="149">
        <f>((BA181+AN177+AQ175)/3)*BC180/BC172</f>
        <v>3699.1427056292159</v>
      </c>
      <c r="AS181" s="149"/>
      <c r="AT181" s="149">
        <f>ROUND(AT180,2)</f>
        <v>560.44000000000005</v>
      </c>
      <c r="AU181" s="149"/>
      <c r="AV181" s="149"/>
      <c r="AW181" s="149"/>
      <c r="AX181" s="149"/>
      <c r="AY181" s="149"/>
      <c r="AZ181" s="149">
        <v>3</v>
      </c>
      <c r="BA181" s="152">
        <f>((AN167+AN177+AQ175)/3)*BC180/BC172</f>
        <v>1440.5519772256166</v>
      </c>
      <c r="BB181" s="191">
        <f>(BC181/BC180)</f>
        <v>224.71628250180481</v>
      </c>
      <c r="BC181" s="152">
        <f>BB167*BC172</f>
        <v>1120.8848171190025</v>
      </c>
      <c r="BD181" s="171"/>
      <c r="BE181" s="151"/>
      <c r="BF181" s="191">
        <f>(BF179+BF180)</f>
        <v>-153.41887070921098</v>
      </c>
      <c r="BG181" s="149"/>
      <c r="BH181" s="162">
        <f>INT(BH174)-BH174+BS181</f>
        <v>2.7954317733472518</v>
      </c>
      <c r="BI181" s="149"/>
      <c r="BJ181" s="191" t="s">
        <v>53</v>
      </c>
      <c r="BK181" s="149">
        <f>((BT181+BG177+BJ175)/3)*BV180/BV172</f>
        <v>3698.5295947815198</v>
      </c>
      <c r="BL181" s="149"/>
      <c r="BM181" s="149">
        <f>ROUND(BM180,2)</f>
        <v>317.58</v>
      </c>
      <c r="BN181" s="149"/>
      <c r="BO181" s="149"/>
      <c r="BP181" s="149"/>
      <c r="BQ181" s="149"/>
      <c r="BR181" s="149"/>
      <c r="BS181" s="149">
        <v>3</v>
      </c>
      <c r="BT181" s="152">
        <f>((BG167+BG177+BJ175)/3)*BV180/BV172</f>
        <v>1440.4919046109244</v>
      </c>
      <c r="BU181" s="191">
        <f>(BV181/BV180)</f>
        <v>224.75869180258366</v>
      </c>
      <c r="BV181" s="152">
        <f>BU167*BV172</f>
        <v>635.16806303410146</v>
      </c>
      <c r="BW181" s="171"/>
      <c r="BX181" s="151"/>
      <c r="BY181" s="797"/>
      <c r="BZ181" s="797"/>
      <c r="CA181" s="797"/>
      <c r="CB181" s="797"/>
      <c r="CC181" s="797"/>
      <c r="CD181" s="797"/>
      <c r="CE181" s="797"/>
      <c r="CF181" s="797"/>
      <c r="CG181" s="797"/>
      <c r="CH181" s="797"/>
      <c r="CI181" s="797"/>
      <c r="CJ181" s="797"/>
      <c r="CK181" s="797"/>
      <c r="CL181" s="797"/>
      <c r="CM181" s="797"/>
      <c r="CN181" s="797"/>
      <c r="CO181" s="797"/>
      <c r="CP181" s="797"/>
      <c r="CQ181" s="797"/>
      <c r="CR181" s="797"/>
      <c r="CS181" s="797"/>
      <c r="CT181" s="797"/>
      <c r="CU181" s="797"/>
    </row>
    <row r="182" spans="1:99" x14ac:dyDescent="0.25">
      <c r="A182" s="171"/>
      <c r="B182" s="171"/>
      <c r="C182" s="171"/>
      <c r="D182" s="171"/>
      <c r="E182" s="171"/>
      <c r="F182" s="171"/>
      <c r="G182" s="171"/>
      <c r="H182" s="171"/>
      <c r="I182" s="171"/>
      <c r="J182" s="171"/>
      <c r="K182" s="171"/>
      <c r="L182" s="171"/>
      <c r="M182" s="171"/>
      <c r="N182" s="171"/>
      <c r="O182" s="171"/>
      <c r="P182" s="171" t="s">
        <v>54</v>
      </c>
      <c r="Q182" s="171"/>
      <c r="R182" s="171"/>
      <c r="S182" s="151"/>
      <c r="T182" s="171"/>
      <c r="U182" s="171"/>
      <c r="V182" s="171"/>
      <c r="W182" s="171"/>
      <c r="X182" s="171"/>
      <c r="Y182" s="171"/>
      <c r="Z182" s="171"/>
      <c r="AA182" s="171"/>
      <c r="AB182" s="171"/>
      <c r="AC182" s="171"/>
      <c r="AD182" s="171"/>
      <c r="AE182" s="171"/>
      <c r="AF182" s="171"/>
      <c r="AG182" s="171"/>
      <c r="AH182" s="171"/>
      <c r="AI182" s="171" t="s">
        <v>54</v>
      </c>
      <c r="AJ182" s="171"/>
      <c r="AK182" s="171"/>
      <c r="AL182" s="151"/>
      <c r="AM182" s="171"/>
      <c r="AN182" s="171"/>
      <c r="AO182" s="171"/>
      <c r="AP182" s="171"/>
      <c r="AQ182" s="171"/>
      <c r="AR182" s="171"/>
      <c r="AS182" s="171"/>
      <c r="AT182" s="171"/>
      <c r="AU182" s="171"/>
      <c r="AV182" s="171"/>
      <c r="AW182" s="171"/>
      <c r="AX182" s="171"/>
      <c r="AY182" s="171"/>
      <c r="AZ182" s="171"/>
      <c r="BA182" s="171"/>
      <c r="BB182" s="171" t="s">
        <v>54</v>
      </c>
      <c r="BC182" s="171"/>
      <c r="BD182" s="171"/>
      <c r="BE182" s="151"/>
      <c r="BF182" s="171"/>
      <c r="BG182" s="171"/>
      <c r="BH182" s="171"/>
      <c r="BI182" s="171"/>
      <c r="BJ182" s="171"/>
      <c r="BK182" s="171"/>
      <c r="BL182" s="171"/>
      <c r="BM182" s="171"/>
      <c r="BN182" s="171"/>
      <c r="BO182" s="171"/>
      <c r="BP182" s="171"/>
      <c r="BQ182" s="171"/>
      <c r="BR182" s="171"/>
      <c r="BS182" s="171"/>
      <c r="BT182" s="171"/>
      <c r="BU182" s="171" t="s">
        <v>54</v>
      </c>
      <c r="BV182" s="171"/>
      <c r="BW182" s="171"/>
      <c r="BX182" s="151"/>
      <c r="BY182" s="797"/>
      <c r="BZ182" s="797"/>
      <c r="CA182" s="797"/>
      <c r="CB182" s="797"/>
      <c r="CC182" s="797"/>
      <c r="CD182" s="797"/>
      <c r="CE182" s="797"/>
      <c r="CF182" s="797"/>
      <c r="CG182" s="797"/>
      <c r="CH182" s="797"/>
      <c r="CI182" s="797"/>
      <c r="CJ182" s="797"/>
      <c r="CK182" s="797"/>
      <c r="CL182" s="797"/>
      <c r="CM182" s="797"/>
      <c r="CN182" s="797"/>
      <c r="CO182" s="797"/>
      <c r="CP182" s="797"/>
      <c r="CQ182" s="797"/>
      <c r="CR182" s="797"/>
      <c r="CS182" s="797"/>
      <c r="CT182" s="797"/>
      <c r="CU182" s="797"/>
    </row>
    <row r="183" spans="1:99" x14ac:dyDescent="0.25">
      <c r="A183" s="171"/>
      <c r="B183" s="171"/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171"/>
      <c r="R183" s="171"/>
      <c r="S183" s="151"/>
      <c r="T183" s="171"/>
      <c r="U183" s="171"/>
      <c r="V183" s="171"/>
      <c r="W183" s="171"/>
      <c r="X183" s="171"/>
      <c r="Y183" s="171"/>
      <c r="Z183" s="171"/>
      <c r="AA183" s="171"/>
      <c r="AB183" s="171"/>
      <c r="AC183" s="171"/>
      <c r="AD183" s="171"/>
      <c r="AE183" s="171"/>
      <c r="AF183" s="171"/>
      <c r="AG183" s="171"/>
      <c r="AH183" s="171"/>
      <c r="AI183" s="171"/>
      <c r="AJ183" s="171"/>
      <c r="AK183" s="171"/>
      <c r="AL183" s="151"/>
      <c r="AM183" s="171"/>
      <c r="AN183" s="171"/>
      <c r="AO183" s="171"/>
      <c r="AP183" s="171"/>
      <c r="AQ183" s="171"/>
      <c r="AR183" s="171"/>
      <c r="AS183" s="171"/>
      <c r="AT183" s="171"/>
      <c r="AU183" s="171"/>
      <c r="AV183" s="171"/>
      <c r="AW183" s="171"/>
      <c r="AX183" s="171"/>
      <c r="AY183" s="171"/>
      <c r="AZ183" s="171"/>
      <c r="BA183" s="171"/>
      <c r="BB183" s="171"/>
      <c r="BC183" s="171"/>
      <c r="BD183" s="171"/>
      <c r="BE183" s="151"/>
      <c r="BF183" s="171"/>
      <c r="BG183" s="171"/>
      <c r="BH183" s="171"/>
      <c r="BI183" s="171"/>
      <c r="BJ183" s="171"/>
      <c r="BK183" s="171"/>
      <c r="BL183" s="171"/>
      <c r="BM183" s="171"/>
      <c r="BN183" s="171"/>
      <c r="BO183" s="171"/>
      <c r="BP183" s="171"/>
      <c r="BQ183" s="171"/>
      <c r="BR183" s="171"/>
      <c r="BS183" s="171"/>
      <c r="BT183" s="171"/>
      <c r="BU183" s="171"/>
      <c r="BV183" s="171"/>
      <c r="BW183" s="171"/>
      <c r="BX183" s="151"/>
      <c r="BY183" s="797"/>
      <c r="BZ183" s="797"/>
      <c r="CA183" s="797"/>
      <c r="CB183" s="797"/>
      <c r="CC183" s="797"/>
      <c r="CD183" s="797"/>
      <c r="CE183" s="797"/>
      <c r="CF183" s="797"/>
      <c r="CG183" s="797"/>
      <c r="CH183" s="797"/>
      <c r="CI183" s="797"/>
      <c r="CJ183" s="797"/>
      <c r="CK183" s="797"/>
      <c r="CL183" s="797"/>
      <c r="CM183" s="797"/>
      <c r="CN183" s="797"/>
      <c r="CO183" s="797"/>
      <c r="CP183" s="797"/>
      <c r="CQ183" s="797"/>
      <c r="CR183" s="797"/>
      <c r="CS183" s="797"/>
      <c r="CT183" s="797"/>
      <c r="CU183" s="797"/>
    </row>
    <row r="184" spans="1:99" x14ac:dyDescent="0.25">
      <c r="A184" s="171"/>
      <c r="B184" s="171"/>
      <c r="C184" s="171"/>
      <c r="D184" s="171"/>
      <c r="E184" s="171"/>
      <c r="F184" s="171"/>
      <c r="G184" s="171"/>
      <c r="H184" s="171"/>
      <c r="I184" s="171"/>
      <c r="J184" s="171"/>
      <c r="K184" s="171"/>
      <c r="L184" s="171"/>
      <c r="M184" s="171"/>
      <c r="N184" s="171"/>
      <c r="O184" s="171"/>
      <c r="P184" s="171"/>
      <c r="Q184" s="171"/>
      <c r="R184" s="171"/>
      <c r="S184" s="151"/>
      <c r="T184" s="171"/>
      <c r="U184" s="171"/>
      <c r="V184" s="171"/>
      <c r="W184" s="171"/>
      <c r="X184" s="171"/>
      <c r="Y184" s="171"/>
      <c r="Z184" s="171"/>
      <c r="AA184" s="171"/>
      <c r="AB184" s="171"/>
      <c r="AC184" s="171"/>
      <c r="AD184" s="171"/>
      <c r="AE184" s="171"/>
      <c r="AF184" s="171"/>
      <c r="AG184" s="171"/>
      <c r="AH184" s="171"/>
      <c r="AI184" s="171"/>
      <c r="AJ184" s="171"/>
      <c r="AK184" s="171"/>
      <c r="AL184" s="151"/>
      <c r="AM184" s="171"/>
      <c r="AN184" s="171"/>
      <c r="AO184" s="171"/>
      <c r="AP184" s="171"/>
      <c r="AQ184" s="171"/>
      <c r="AR184" s="171"/>
      <c r="AS184" s="171"/>
      <c r="AT184" s="171"/>
      <c r="AU184" s="171"/>
      <c r="AV184" s="171"/>
      <c r="AW184" s="171"/>
      <c r="AX184" s="171"/>
      <c r="AY184" s="171"/>
      <c r="AZ184" s="171"/>
      <c r="BA184" s="171"/>
      <c r="BB184" s="171"/>
      <c r="BC184" s="171"/>
      <c r="BD184" s="171"/>
      <c r="BE184" s="151"/>
      <c r="BF184" s="171"/>
      <c r="BG184" s="171"/>
      <c r="BH184" s="171"/>
      <c r="BI184" s="171"/>
      <c r="BJ184" s="171"/>
      <c r="BK184" s="171"/>
      <c r="BL184" s="171"/>
      <c r="BM184" s="171"/>
      <c r="BN184" s="171"/>
      <c r="BO184" s="171"/>
      <c r="BP184" s="171"/>
      <c r="BQ184" s="171"/>
      <c r="BR184" s="171"/>
      <c r="BS184" s="171"/>
      <c r="BT184" s="171"/>
      <c r="BU184" s="171"/>
      <c r="BV184" s="171"/>
      <c r="BW184" s="171"/>
      <c r="BX184" s="151"/>
      <c r="BY184" s="797"/>
      <c r="BZ184" s="797"/>
      <c r="CA184" s="797"/>
      <c r="CB184" s="797"/>
      <c r="CC184" s="797"/>
      <c r="CD184" s="797"/>
      <c r="CE184" s="797"/>
      <c r="CF184" s="797"/>
      <c r="CG184" s="797"/>
      <c r="CH184" s="797"/>
      <c r="CI184" s="797"/>
      <c r="CJ184" s="797"/>
      <c r="CK184" s="797"/>
      <c r="CL184" s="797"/>
      <c r="CM184" s="797"/>
      <c r="CN184" s="797"/>
      <c r="CO184" s="797"/>
      <c r="CP184" s="797"/>
      <c r="CQ184" s="797"/>
      <c r="CR184" s="797"/>
      <c r="CS184" s="797"/>
      <c r="CT184" s="797"/>
      <c r="CU184" s="797"/>
    </row>
    <row r="185" spans="1:99" x14ac:dyDescent="0.25">
      <c r="A185" s="171"/>
      <c r="B185" s="171"/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51"/>
      <c r="T185" s="171"/>
      <c r="U185" s="171"/>
      <c r="V185" s="171"/>
      <c r="W185" s="171"/>
      <c r="X185" s="171"/>
      <c r="Y185" s="171"/>
      <c r="Z185" s="171"/>
      <c r="AA185" s="171"/>
      <c r="AB185" s="171"/>
      <c r="AC185" s="171"/>
      <c r="AD185" s="171"/>
      <c r="AE185" s="171"/>
      <c r="AF185" s="171"/>
      <c r="AG185" s="171"/>
      <c r="AH185" s="171"/>
      <c r="AI185" s="171"/>
      <c r="AJ185" s="171"/>
      <c r="AK185" s="171"/>
      <c r="AL185" s="151"/>
      <c r="AM185" s="171"/>
      <c r="AN185" s="171"/>
      <c r="AO185" s="171"/>
      <c r="AP185" s="171"/>
      <c r="AQ185" s="171"/>
      <c r="AR185" s="171"/>
      <c r="AS185" s="171"/>
      <c r="AT185" s="171"/>
      <c r="AU185" s="171"/>
      <c r="AV185" s="171"/>
      <c r="AW185" s="171"/>
      <c r="AX185" s="171"/>
      <c r="AY185" s="171"/>
      <c r="AZ185" s="171"/>
      <c r="BA185" s="171"/>
      <c r="BB185" s="171"/>
      <c r="BC185" s="171"/>
      <c r="BD185" s="171"/>
      <c r="BE185" s="151"/>
      <c r="BF185" s="171"/>
      <c r="BG185" s="171"/>
      <c r="BH185" s="171"/>
      <c r="BI185" s="171"/>
      <c r="BJ185" s="171"/>
      <c r="BK185" s="171"/>
      <c r="BL185" s="171"/>
      <c r="BM185" s="171"/>
      <c r="BN185" s="171"/>
      <c r="BO185" s="171"/>
      <c r="BP185" s="171"/>
      <c r="BQ185" s="171"/>
      <c r="BR185" s="171"/>
      <c r="BS185" s="171"/>
      <c r="BT185" s="171"/>
      <c r="BU185" s="171"/>
      <c r="BV185" s="171"/>
      <c r="BW185" s="171"/>
      <c r="BX185" s="151"/>
      <c r="BY185" s="797"/>
      <c r="BZ185" s="797"/>
      <c r="CA185" s="797"/>
      <c r="CB185" s="797"/>
      <c r="CC185" s="797"/>
      <c r="CD185" s="797"/>
      <c r="CE185" s="797"/>
      <c r="CF185" s="797"/>
      <c r="CG185" s="797"/>
      <c r="CH185" s="797"/>
      <c r="CI185" s="797"/>
      <c r="CJ185" s="797"/>
      <c r="CK185" s="797"/>
      <c r="CL185" s="797"/>
      <c r="CM185" s="797"/>
      <c r="CN185" s="797"/>
      <c r="CO185" s="797"/>
      <c r="CP185" s="797"/>
      <c r="CQ185" s="797"/>
      <c r="CR185" s="797"/>
      <c r="CS185" s="797"/>
      <c r="CT185" s="797"/>
      <c r="CU185" s="797"/>
    </row>
    <row r="186" spans="1:99" x14ac:dyDescent="0.25">
      <c r="A186" s="152">
        <f>P201</f>
        <v>217.4067156972543</v>
      </c>
      <c r="B186" s="153">
        <f>(A186*10^0.125)</f>
        <v>289.91651487852715</v>
      </c>
      <c r="C186" s="154">
        <f>INT(B186)</f>
        <v>289</v>
      </c>
      <c r="D186" s="154">
        <f>C186*4</f>
        <v>1156</v>
      </c>
      <c r="E186" s="154">
        <f>D186/5</f>
        <v>231.2</v>
      </c>
      <c r="F186" s="149">
        <f>E186^2</f>
        <v>53453.439999999995</v>
      </c>
      <c r="G186" s="149">
        <f>(F186^0.125)</f>
        <v>3.8993925484616923</v>
      </c>
      <c r="H186" s="149">
        <f>G186/3</f>
        <v>1.2997975161538975</v>
      </c>
      <c r="I186" s="149">
        <f>(H186*100)</f>
        <v>129.97975161538974</v>
      </c>
      <c r="J186" s="149">
        <f>(F186/100)</f>
        <v>534.53440000000001</v>
      </c>
      <c r="K186" s="149">
        <f>(J186+I186)/2</f>
        <v>332.25707580769489</v>
      </c>
      <c r="L186" s="149">
        <f>(K186+I186)/2</f>
        <v>231.1184137115423</v>
      </c>
      <c r="M186" s="149">
        <f>(L186+A186)/2</f>
        <v>224.2625647043983</v>
      </c>
      <c r="N186" s="149">
        <f>M186*100^0.5</f>
        <v>2242.625647043983</v>
      </c>
      <c r="O186" s="149">
        <f>INT(N186)/10</f>
        <v>224.2</v>
      </c>
      <c r="P186" s="149">
        <f>(O186)^2/10000</f>
        <v>5.0265639999999996</v>
      </c>
      <c r="Q186" s="149">
        <f>(P186+I186+M186)/3</f>
        <v>119.75629343992937</v>
      </c>
      <c r="R186" s="150">
        <f>Q191^0.5</f>
        <v>31.927371044724204</v>
      </c>
      <c r="S186" s="151"/>
      <c r="T186" s="152">
        <f>AI201</f>
        <v>224.70084438725033</v>
      </c>
      <c r="U186" s="153">
        <f>(T186*10^0.125)</f>
        <v>299.64339181559427</v>
      </c>
      <c r="V186" s="154">
        <f>INT(U186)</f>
        <v>299</v>
      </c>
      <c r="W186" s="154">
        <f>V186*4</f>
        <v>1196</v>
      </c>
      <c r="X186" s="154">
        <f>W186/5</f>
        <v>239.2</v>
      </c>
      <c r="Y186" s="149">
        <f>X186^2</f>
        <v>57216.639999999992</v>
      </c>
      <c r="Z186" s="149">
        <f>(Y186^0.125)</f>
        <v>3.9326952517764404</v>
      </c>
      <c r="AA186" s="149">
        <f>Z186/3</f>
        <v>1.3108984172588134</v>
      </c>
      <c r="AB186" s="149">
        <f>(AA186*100)</f>
        <v>131.08984172588134</v>
      </c>
      <c r="AC186" s="149">
        <f>(Y186/100)</f>
        <v>572.16639999999995</v>
      </c>
      <c r="AD186" s="149">
        <f>(AC186+AB186)/2</f>
        <v>351.62812086294065</v>
      </c>
      <c r="AE186" s="149">
        <f>(AD186+AB186)/2</f>
        <v>241.358981294411</v>
      </c>
      <c r="AF186" s="149">
        <f>(AE186+T186)/2</f>
        <v>233.02991284083066</v>
      </c>
      <c r="AG186" s="149">
        <f>AF186*100^0.5</f>
        <v>2330.2991284083064</v>
      </c>
      <c r="AH186" s="149">
        <f>INT(AG186)/10</f>
        <v>233</v>
      </c>
      <c r="AI186" s="149">
        <f>(AH186)^2/10000</f>
        <v>5.4288999999999996</v>
      </c>
      <c r="AJ186" s="149">
        <f>(AI186+AB186+AF186)/3</f>
        <v>123.18288485557066</v>
      </c>
      <c r="AK186" s="150">
        <f>AJ191^0.5</f>
        <v>31.927371044724204</v>
      </c>
      <c r="AL186" s="151"/>
      <c r="AM186" s="152">
        <f>BB201</f>
        <v>227.63687349999682</v>
      </c>
      <c r="AN186" s="153">
        <f>(AM186*10^0.125)</f>
        <v>303.55864956289719</v>
      </c>
      <c r="AO186" s="154">
        <f>INT(AN186)</f>
        <v>303</v>
      </c>
      <c r="AP186" s="154">
        <f>AO186*4</f>
        <v>1212</v>
      </c>
      <c r="AQ186" s="154">
        <f>AP186/5</f>
        <v>242.4</v>
      </c>
      <c r="AR186" s="149">
        <f>AQ186^2</f>
        <v>58757.760000000002</v>
      </c>
      <c r="AS186" s="149">
        <f>(AR186^0.125)</f>
        <v>3.9457826048608973</v>
      </c>
      <c r="AT186" s="149">
        <f>AS186/3</f>
        <v>1.3152608682869658</v>
      </c>
      <c r="AU186" s="149">
        <f>(AT186*100)</f>
        <v>131.52608682869658</v>
      </c>
      <c r="AV186" s="149">
        <f>(AR186/100)</f>
        <v>587.57760000000007</v>
      </c>
      <c r="AW186" s="149">
        <f>(AV186+AU186)/2</f>
        <v>359.55184341434835</v>
      </c>
      <c r="AX186" s="149">
        <f>(AW186+AU186)/2</f>
        <v>245.53896512152247</v>
      </c>
      <c r="AY186" s="149">
        <f>(AX186+AM186)/2</f>
        <v>236.58791931075964</v>
      </c>
      <c r="AZ186" s="149">
        <f>AY186*100^0.5</f>
        <v>2365.8791931075966</v>
      </c>
      <c r="BA186" s="149">
        <f>INT(AZ186)/10</f>
        <v>236.5</v>
      </c>
      <c r="BB186" s="149">
        <f>(BA186)^2/10000</f>
        <v>5.5932250000000003</v>
      </c>
      <c r="BC186" s="149">
        <f>(BB186+AU186+AY186)/3</f>
        <v>124.5690770464854</v>
      </c>
      <c r="BD186" s="150">
        <f>BC191^0.5</f>
        <v>35.578858176638263</v>
      </c>
      <c r="BE186" s="151"/>
      <c r="BF186" s="152">
        <f>BU201</f>
        <v>225.86326105002752</v>
      </c>
      <c r="BG186" s="153">
        <f>(BF186*10^0.125)</f>
        <v>301.19349934851141</v>
      </c>
      <c r="BH186" s="154">
        <f>INT(BG186)</f>
        <v>301</v>
      </c>
      <c r="BI186" s="154">
        <f>BH186*4</f>
        <v>1204</v>
      </c>
      <c r="BJ186" s="154">
        <f>BI186/5</f>
        <v>240.8</v>
      </c>
      <c r="BK186" s="149">
        <f>BJ186^2</f>
        <v>57984.640000000007</v>
      </c>
      <c r="BL186" s="149">
        <f>(BK186^0.125)</f>
        <v>3.9392552332917776</v>
      </c>
      <c r="BM186" s="149">
        <f>BL186/3</f>
        <v>1.3130850777639258</v>
      </c>
      <c r="BN186" s="149">
        <f>(BM186*100)</f>
        <v>131.30850777639259</v>
      </c>
      <c r="BO186" s="149">
        <f>(BK186/100)</f>
        <v>579.84640000000002</v>
      </c>
      <c r="BP186" s="149">
        <f>(BO186+BN186)/2</f>
        <v>355.57745388819632</v>
      </c>
      <c r="BQ186" s="149">
        <f>(BP186+BN186)/2</f>
        <v>243.44298083229444</v>
      </c>
      <c r="BR186" s="149">
        <f>(BQ186+BF186)/2</f>
        <v>234.65312094116098</v>
      </c>
      <c r="BS186" s="149">
        <f>BR186*100^0.5</f>
        <v>2346.5312094116098</v>
      </c>
      <c r="BT186" s="149">
        <f>INT(BS186)/10</f>
        <v>234.6</v>
      </c>
      <c r="BU186" s="149">
        <f>(BT186)^2/10000</f>
        <v>5.5037159999999998</v>
      </c>
      <c r="BV186" s="149">
        <f>(BU186+BN186+BR186)/3</f>
        <v>123.82178157251785</v>
      </c>
      <c r="BW186" s="150">
        <f>BV191^0.5</f>
        <v>35.578858176638263</v>
      </c>
      <c r="BX186" s="151"/>
      <c r="BY186" s="797"/>
      <c r="BZ186" s="797"/>
      <c r="CA186" s="797"/>
      <c r="CB186" s="797"/>
      <c r="CC186" s="797"/>
      <c r="CD186" s="797"/>
      <c r="CE186" s="797"/>
      <c r="CF186" s="797"/>
      <c r="CG186" s="797"/>
      <c r="CH186" s="797"/>
      <c r="CI186" s="797"/>
      <c r="CJ186" s="797"/>
      <c r="CK186" s="797"/>
      <c r="CL186" s="797"/>
      <c r="CM186" s="797"/>
      <c r="CN186" s="797"/>
      <c r="CO186" s="797"/>
      <c r="CP186" s="797"/>
      <c r="CQ186" s="797"/>
      <c r="CR186" s="797"/>
      <c r="CS186" s="797"/>
      <c r="CT186" s="797"/>
      <c r="CU186" s="797"/>
    </row>
    <row r="187" spans="1:99" x14ac:dyDescent="0.25">
      <c r="A187" s="163">
        <f>(O188-O187)</f>
        <v>4.8871853743126792</v>
      </c>
      <c r="B187" s="153">
        <f>(B188+A189)/2</f>
        <v>210.32904333904736</v>
      </c>
      <c r="C187" s="164">
        <f>(D189*C189*B189*C188*D188*A187)</f>
        <v>324166051061195.5</v>
      </c>
      <c r="D187" s="154">
        <f>(C188*C187*A187)</f>
        <v>248945111017.24347</v>
      </c>
      <c r="E187" s="163">
        <f>INT(A187+1)</f>
        <v>5</v>
      </c>
      <c r="F187" s="165">
        <f>(Q199*-1)</f>
        <v>-28.706819988182929</v>
      </c>
      <c r="G187" s="161"/>
      <c r="H187" s="152">
        <f>IF(F187&gt;0,-1,1)</f>
        <v>1</v>
      </c>
      <c r="I187" s="161"/>
      <c r="J187" s="161"/>
      <c r="K187" s="161"/>
      <c r="L187" s="161"/>
      <c r="M187" s="161"/>
      <c r="N187" s="161">
        <f>(M186+O186)/2</f>
        <v>224.23128235219914</v>
      </c>
      <c r="O187" s="161">
        <f>N187-A186</f>
        <v>6.8245666549448458</v>
      </c>
      <c r="P187" s="161">
        <f>(Q191+R189)/2</f>
        <v>1000.3376489137468</v>
      </c>
      <c r="Q187" s="162">
        <f>(Q190*A187*100)</f>
        <v>2316.7475892161369</v>
      </c>
      <c r="R187" s="150">
        <f>INT(R186)+0.326</f>
        <v>31.326000000000001</v>
      </c>
      <c r="S187" s="151"/>
      <c r="T187" s="163">
        <f>(AH188-AH187)</f>
        <v>3.4241546073034783</v>
      </c>
      <c r="U187" s="153">
        <f>(U188+T189)/2</f>
        <v>217.97567241519022</v>
      </c>
      <c r="V187" s="164">
        <f>(W189*V189*U189*V188*W188*T187)</f>
        <v>8454127775157.3213</v>
      </c>
      <c r="W187" s="154">
        <f>(V188*V187*T187)</f>
        <v>9670131986.1414738</v>
      </c>
      <c r="X187" s="163">
        <f>INT(T187+1)</f>
        <v>4</v>
      </c>
      <c r="Y187" s="165">
        <f>(AJ199*-1)</f>
        <v>-31.486447948225752</v>
      </c>
      <c r="Z187" s="161"/>
      <c r="AA187" s="152">
        <f>IF(Y187&gt;0,-1,1)</f>
        <v>1</v>
      </c>
      <c r="AB187" s="161"/>
      <c r="AC187" s="161"/>
      <c r="AD187" s="161"/>
      <c r="AE187" s="161"/>
      <c r="AF187" s="161"/>
      <c r="AG187" s="161">
        <f>(AF186+AH186)/2</f>
        <v>233.01495642041533</v>
      </c>
      <c r="AH187" s="161">
        <f>AG187-T186</f>
        <v>8.3141120331650029</v>
      </c>
      <c r="AI187" s="161">
        <f>(AJ191+AK189)/2</f>
        <v>1000.3376489137468</v>
      </c>
      <c r="AJ187" s="162">
        <f>(AJ190*T187*100)</f>
        <v>713.74638431695473</v>
      </c>
      <c r="AK187" s="150">
        <f>INT(AK186)+0.326</f>
        <v>31.326000000000001</v>
      </c>
      <c r="AL187" s="151"/>
      <c r="AM187" s="163">
        <f>(BA188-BA187)</f>
        <v>2.8470708959048352</v>
      </c>
      <c r="AN187" s="153">
        <f>(AN188+AM189)/2</f>
        <v>221.04802725037672</v>
      </c>
      <c r="AO187" s="164">
        <f>(AP189*AO189*AN189*AO188*AP188*AM187)</f>
        <v>1320966681376.7861</v>
      </c>
      <c r="AP187" s="154">
        <f>(AO188*AO187*AM187)</f>
        <v>1839301322.7452567</v>
      </c>
      <c r="AQ187" s="163">
        <f>INT(AM187+1)</f>
        <v>3</v>
      </c>
      <c r="AR187" s="165">
        <f>(BC199*-1)</f>
        <v>-30.790575070335404</v>
      </c>
      <c r="AS187" s="161"/>
      <c r="AT187" s="152">
        <f>IF(AR187&gt;0,-1,1)</f>
        <v>1</v>
      </c>
      <c r="AU187" s="161"/>
      <c r="AV187" s="161"/>
      <c r="AW187" s="161"/>
      <c r="AX187" s="161"/>
      <c r="AY187" s="161"/>
      <c r="AZ187" s="161">
        <f>(AY186+BA186)/2</f>
        <v>236.54395965537981</v>
      </c>
      <c r="BA187" s="161">
        <f>AZ187-AM186</f>
        <v>8.9070861553829843</v>
      </c>
      <c r="BB187" s="161">
        <f>(BC191+BD189)/2</f>
        <v>1256.8907125766696</v>
      </c>
      <c r="BC187" s="162">
        <f>(BC190*AM187*100)</f>
        <v>413.36922170905729</v>
      </c>
      <c r="BD187" s="150">
        <f>INT(BD186)+0.326</f>
        <v>35.326000000000001</v>
      </c>
      <c r="BE187" s="151"/>
      <c r="BF187" s="163">
        <f>(BT188-BT187)</f>
        <v>2.7991983324410228</v>
      </c>
      <c r="BG187" s="153">
        <f>(BG188+BF189)/2</f>
        <v>219.38221259042024</v>
      </c>
      <c r="BH187" s="164">
        <f>(BI189*BH189*BG189*BH188*BI188*BF187)</f>
        <v>1012020082150.7548</v>
      </c>
      <c r="BI187" s="154">
        <f>(BH188*BH187*BF187)</f>
        <v>1481511461.3883829</v>
      </c>
      <c r="BJ187" s="163">
        <f>INT(BF187+1)</f>
        <v>3</v>
      </c>
      <c r="BK187" s="165">
        <f>(BV199*-1)</f>
        <v>-11.579149128469682</v>
      </c>
      <c r="BL187" s="161"/>
      <c r="BM187" s="152">
        <f>IF(BK187&gt;0,-1,1)</f>
        <v>1</v>
      </c>
      <c r="BN187" s="161"/>
      <c r="BO187" s="161"/>
      <c r="BP187" s="161"/>
      <c r="BQ187" s="161"/>
      <c r="BR187" s="161"/>
      <c r="BS187" s="161">
        <f>(BR186+BT186)/2</f>
        <v>234.6265604705805</v>
      </c>
      <c r="BT187" s="161">
        <f>BS187-BF186</f>
        <v>8.7632994205529826</v>
      </c>
      <c r="BU187" s="161">
        <f>(BV191+BW189)/2</f>
        <v>1256.8907125766696</v>
      </c>
      <c r="BV187" s="162">
        <f>(BV190*BF187*100)</f>
        <v>310.43289891114279</v>
      </c>
      <c r="BW187" s="150">
        <f>INT(BW186)+0.326</f>
        <v>35.326000000000001</v>
      </c>
      <c r="BX187" s="151"/>
      <c r="BY187" s="797"/>
      <c r="BZ187" s="797"/>
      <c r="CA187" s="797"/>
      <c r="CB187" s="797"/>
      <c r="CC187" s="797"/>
      <c r="CD187" s="797"/>
      <c r="CE187" s="797"/>
      <c r="CF187" s="797"/>
      <c r="CG187" s="797"/>
      <c r="CH187" s="797"/>
      <c r="CI187" s="797"/>
      <c r="CJ187" s="797"/>
      <c r="CK187" s="797"/>
      <c r="CL187" s="797"/>
      <c r="CM187" s="797"/>
      <c r="CN187" s="797"/>
      <c r="CO187" s="797"/>
      <c r="CP187" s="797"/>
      <c r="CQ187" s="797"/>
      <c r="CR187" s="797"/>
      <c r="CS187" s="797"/>
      <c r="CT187" s="797"/>
      <c r="CU187" s="797"/>
    </row>
    <row r="188" spans="1:99" x14ac:dyDescent="0.25">
      <c r="A188" s="163">
        <f>N187</f>
        <v>224.23128235219914</v>
      </c>
      <c r="B188" s="172">
        <f>(N187+N189)/2</f>
        <v>214.96312301009795</v>
      </c>
      <c r="C188" s="154">
        <f>(A187/D189)</f>
        <v>1.571365662515621E-4</v>
      </c>
      <c r="D188" s="154">
        <f>(A187+B189+C189+D189)</f>
        <v>68571.809612433834</v>
      </c>
      <c r="E188" s="173">
        <f>(E187*C189)</f>
        <v>31819.455644687001</v>
      </c>
      <c r="F188" s="174"/>
      <c r="G188" s="161"/>
      <c r="H188" s="161"/>
      <c r="I188" s="161"/>
      <c r="J188" s="161"/>
      <c r="K188" s="161"/>
      <c r="L188" s="161"/>
      <c r="M188" s="161">
        <f>(N187+N189)/2</f>
        <v>214.96312301009795</v>
      </c>
      <c r="N188" s="161">
        <f>(I186+N187)/2</f>
        <v>177.10551698379444</v>
      </c>
      <c r="O188" s="161">
        <f>A186-N189</f>
        <v>11.711752029257525</v>
      </c>
      <c r="P188" s="161"/>
      <c r="Q188" s="149"/>
      <c r="R188" s="171"/>
      <c r="S188" s="151"/>
      <c r="T188" s="163">
        <f>AG187</f>
        <v>233.01495642041533</v>
      </c>
      <c r="U188" s="172">
        <f>(AG187+AG189)/2</f>
        <v>222.98876708359859</v>
      </c>
      <c r="V188" s="154">
        <f>(T187/W189)</f>
        <v>3.3404904046163014E-4</v>
      </c>
      <c r="W188" s="154">
        <f>(T187+U189+V189+W189)</f>
        <v>23497.906293401044</v>
      </c>
      <c r="X188" s="173">
        <f>(X187*V189)</f>
        <v>11974.289746416594</v>
      </c>
      <c r="Y188" s="174"/>
      <c r="Z188" s="161"/>
      <c r="AA188" s="161"/>
      <c r="AB188" s="161"/>
      <c r="AC188" s="161"/>
      <c r="AD188" s="161"/>
      <c r="AE188" s="161"/>
      <c r="AF188" s="161">
        <f>(AG187+AG189)/2</f>
        <v>222.98876708359859</v>
      </c>
      <c r="AG188" s="161">
        <f>(AB186+AG187)/2</f>
        <v>182.05239907314834</v>
      </c>
      <c r="AH188" s="161">
        <f>T186-AG189</f>
        <v>11.738266640468481</v>
      </c>
      <c r="AI188" s="161"/>
      <c r="AJ188" s="149"/>
      <c r="AK188" s="171"/>
      <c r="AL188" s="151"/>
      <c r="AM188" s="163">
        <f>AZ187</f>
        <v>236.54395965537981</v>
      </c>
      <c r="AN188" s="172">
        <f>(AZ187+AZ189)/2</f>
        <v>226.21333805204441</v>
      </c>
      <c r="AO188" s="154">
        <f>(AM187/AP189)</f>
        <v>4.8906066920852674E-4</v>
      </c>
      <c r="AP188" s="154">
        <f>(AM187+AN189+AO189+AP189)</f>
        <v>13690.600376928796</v>
      </c>
      <c r="AQ188" s="173">
        <f>(AQ187*AO189)</f>
        <v>6134.2082667474815</v>
      </c>
      <c r="AR188" s="174"/>
      <c r="AS188" s="161"/>
      <c r="AT188" s="161"/>
      <c r="AU188" s="161"/>
      <c r="AV188" s="161"/>
      <c r="AW188" s="161"/>
      <c r="AX188" s="161"/>
      <c r="AY188" s="161">
        <f>(AZ187+AZ189)/2</f>
        <v>226.21333805204441</v>
      </c>
      <c r="AZ188" s="161">
        <f>(AU186+AZ187)/2</f>
        <v>184.03502324203819</v>
      </c>
      <c r="BA188" s="161">
        <f>AM186-AZ189</f>
        <v>11.75415705128782</v>
      </c>
      <c r="BB188" s="161"/>
      <c r="BC188" s="149"/>
      <c r="BD188" s="171"/>
      <c r="BE188" s="151"/>
      <c r="BF188" s="163">
        <f>BS187</f>
        <v>234.6265604705805</v>
      </c>
      <c r="BG188" s="172">
        <f>(BS187+BS189)/2</f>
        <v>224.46366188380699</v>
      </c>
      <c r="BH188" s="154">
        <f>(BF187/BI189)</f>
        <v>5.2297654827705784E-4</v>
      </c>
      <c r="BI188" s="154">
        <f>(BF187+BG189+BH189+BI189)</f>
        <v>12619.802172214178</v>
      </c>
      <c r="BJ188" s="173">
        <f>(BJ187*BH189)</f>
        <v>5736.3948916705285</v>
      </c>
      <c r="BK188" s="174"/>
      <c r="BL188" s="161"/>
      <c r="BM188" s="161"/>
      <c r="BN188" s="161"/>
      <c r="BO188" s="161"/>
      <c r="BP188" s="161"/>
      <c r="BQ188" s="161"/>
      <c r="BR188" s="161">
        <f>(BS187+BS189)/2</f>
        <v>224.46366188380699</v>
      </c>
      <c r="BS188" s="161">
        <f>(BN186+BS187)/2</f>
        <v>182.96753412348653</v>
      </c>
      <c r="BT188" s="161">
        <f>BF186-BS189</f>
        <v>11.562497752994005</v>
      </c>
      <c r="BU188" s="161"/>
      <c r="BV188" s="149"/>
      <c r="BW188" s="171"/>
      <c r="BX188" s="151"/>
      <c r="BY188" s="797"/>
      <c r="BZ188" s="797"/>
      <c r="CA188" s="797"/>
      <c r="CB188" s="797"/>
      <c r="CC188" s="797"/>
      <c r="CD188" s="797"/>
      <c r="CE188" s="797"/>
      <c r="CF188" s="797"/>
      <c r="CG188" s="797"/>
      <c r="CH188" s="797"/>
      <c r="CI188" s="797"/>
      <c r="CJ188" s="797"/>
      <c r="CK188" s="797"/>
      <c r="CL188" s="797"/>
      <c r="CM188" s="797"/>
      <c r="CN188" s="797"/>
      <c r="CO188" s="797"/>
      <c r="CP188" s="797"/>
      <c r="CQ188" s="797"/>
      <c r="CR188" s="797"/>
      <c r="CS188" s="797"/>
      <c r="CT188" s="797"/>
      <c r="CU188" s="797"/>
    </row>
    <row r="189" spans="1:99" x14ac:dyDescent="0.25">
      <c r="A189" s="277">
        <f>N189</f>
        <v>205.69496366799677</v>
      </c>
      <c r="B189" s="153">
        <f>G195</f>
        <v>31101.515649061064</v>
      </c>
      <c r="C189" s="154">
        <f>(B189/A187)</f>
        <v>6363.8911289374</v>
      </c>
      <c r="D189" s="154">
        <f>(A187*C189)</f>
        <v>31101.515649061064</v>
      </c>
      <c r="E189" s="163">
        <f>INT(A187)+1</f>
        <v>5</v>
      </c>
      <c r="F189" s="174">
        <f>(Q199)</f>
        <v>28.706819988182929</v>
      </c>
      <c r="G189" s="161"/>
      <c r="H189" s="152">
        <f>IF(F187&lt;0,1,-1)</f>
        <v>1</v>
      </c>
      <c r="I189" s="161"/>
      <c r="J189" s="161"/>
      <c r="K189" s="161"/>
      <c r="L189" s="161"/>
      <c r="M189" s="161">
        <f>(N188+P186*2)</f>
        <v>187.15864498379443</v>
      </c>
      <c r="N189" s="161">
        <f>(N187+M189)/2</f>
        <v>205.69496366799677</v>
      </c>
      <c r="O189" s="161">
        <f>(N188+J186)/2</f>
        <v>355.81995849189724</v>
      </c>
      <c r="P189" s="152">
        <f>IF(Q199&gt;1,-1,1)</f>
        <v>-1</v>
      </c>
      <c r="Q189" s="162">
        <f>F197-F194</f>
        <v>-1.1270581520803482</v>
      </c>
      <c r="R189" s="150">
        <f>R187^2</f>
        <v>981.31827600000008</v>
      </c>
      <c r="S189" s="151"/>
      <c r="T189" s="277">
        <f>AG189</f>
        <v>212.96257774678185</v>
      </c>
      <c r="U189" s="153">
        <f>Z195</f>
        <v>10250.454851094795</v>
      </c>
      <c r="V189" s="154">
        <f>(U189/T187)</f>
        <v>2993.5724366041486</v>
      </c>
      <c r="W189" s="154">
        <f>(T187*V189)</f>
        <v>10250.454851094795</v>
      </c>
      <c r="X189" s="163">
        <f>INT(T187)+1</f>
        <v>4</v>
      </c>
      <c r="Y189" s="174">
        <f>(AJ199)</f>
        <v>31.486447948225752</v>
      </c>
      <c r="Z189" s="161"/>
      <c r="AA189" s="152">
        <f>IF(Y187&lt;0,1,-1)</f>
        <v>1</v>
      </c>
      <c r="AB189" s="161"/>
      <c r="AC189" s="161"/>
      <c r="AD189" s="161"/>
      <c r="AE189" s="161"/>
      <c r="AF189" s="161">
        <f>(AG188+AI186*2)</f>
        <v>192.91019907314833</v>
      </c>
      <c r="AG189" s="161">
        <f>(AG187+AF189)/2</f>
        <v>212.96257774678185</v>
      </c>
      <c r="AH189" s="161">
        <f>(AG188+AC186)/2</f>
        <v>377.10939953657413</v>
      </c>
      <c r="AI189" s="152">
        <f>IF(AJ199&gt;1,-1,1)</f>
        <v>-1</v>
      </c>
      <c r="AJ189" s="162">
        <f>Y197-Y194</f>
        <v>-1.8810136145192553</v>
      </c>
      <c r="AK189" s="150">
        <f>AK187^2</f>
        <v>981.31827600000008</v>
      </c>
      <c r="AL189" s="151"/>
      <c r="AM189" s="277">
        <f>AZ189</f>
        <v>215.882716448709</v>
      </c>
      <c r="AN189" s="153">
        <f>AS195</f>
        <v>5821.5086085585326</v>
      </c>
      <c r="AO189" s="154">
        <f>(AN189/AM187)</f>
        <v>2044.7360889158272</v>
      </c>
      <c r="AP189" s="154">
        <f>(AM187*AO189)</f>
        <v>5821.5086085585326</v>
      </c>
      <c r="AQ189" s="163">
        <f>INT(AM187)+1</f>
        <v>3</v>
      </c>
      <c r="AR189" s="174">
        <f>(BC199)</f>
        <v>30.790575070335404</v>
      </c>
      <c r="AS189" s="161"/>
      <c r="AT189" s="152">
        <f>IF(AR187&lt;0,1,-1)</f>
        <v>1</v>
      </c>
      <c r="AU189" s="161"/>
      <c r="AV189" s="161"/>
      <c r="AW189" s="161"/>
      <c r="AX189" s="161"/>
      <c r="AY189" s="161">
        <f>(AZ188+BB186*2)</f>
        <v>195.2214732420382</v>
      </c>
      <c r="AZ189" s="161">
        <f>(AZ187+AY189)/2</f>
        <v>215.882716448709</v>
      </c>
      <c r="BA189" s="161">
        <f>(AZ188+AV186)/2</f>
        <v>385.80631162101912</v>
      </c>
      <c r="BB189" s="152">
        <f>IF(BC199&gt;1,-1,1)</f>
        <v>-1</v>
      </c>
      <c r="BC189" s="162">
        <f>AR197-AR194</f>
        <v>-1.9359394658190823</v>
      </c>
      <c r="BD189" s="150">
        <f>BD187^2</f>
        <v>1247.9262760000001</v>
      </c>
      <c r="BE189" s="151"/>
      <c r="BF189" s="277">
        <f>BS189</f>
        <v>214.30076329703351</v>
      </c>
      <c r="BG189" s="153">
        <f>BL195</f>
        <v>5352.4356716624479</v>
      </c>
      <c r="BH189" s="154">
        <f>(BG189/BF187)</f>
        <v>1912.1316305568428</v>
      </c>
      <c r="BI189" s="154">
        <f>(BF187*BH189)</f>
        <v>5352.4356716624479</v>
      </c>
      <c r="BJ189" s="163">
        <f>INT(BF187)+1</f>
        <v>3</v>
      </c>
      <c r="BK189" s="174">
        <f>(BV199)</f>
        <v>11.579149128469682</v>
      </c>
      <c r="BL189" s="161"/>
      <c r="BM189" s="152">
        <f>IF(BK187&lt;0,1,-1)</f>
        <v>1</v>
      </c>
      <c r="BN189" s="161"/>
      <c r="BO189" s="161"/>
      <c r="BP189" s="161"/>
      <c r="BQ189" s="161"/>
      <c r="BR189" s="161">
        <f>(BS188+BU186*2)</f>
        <v>193.97496612348652</v>
      </c>
      <c r="BS189" s="161">
        <f>(BS187+BR189)/2</f>
        <v>214.30076329703351</v>
      </c>
      <c r="BT189" s="161">
        <f>(BS188+BO186)/2</f>
        <v>381.40696706174327</v>
      </c>
      <c r="BU189" s="152">
        <f>IF(BV199&gt;1,-1,1)</f>
        <v>-1</v>
      </c>
      <c r="BV189" s="162">
        <f>BK197-BK194</f>
        <v>-2.0197636188480361</v>
      </c>
      <c r="BW189" s="150">
        <f>BW187^2</f>
        <v>1247.9262760000001</v>
      </c>
      <c r="BX189" s="151"/>
      <c r="BY189" s="797"/>
      <c r="BZ189" s="797"/>
      <c r="CA189" s="797"/>
      <c r="CB189" s="797"/>
      <c r="CC189" s="797"/>
      <c r="CD189" s="797"/>
      <c r="CE189" s="797"/>
      <c r="CF189" s="797"/>
      <c r="CG189" s="797"/>
      <c r="CH189" s="797"/>
      <c r="CI189" s="797"/>
      <c r="CJ189" s="797"/>
      <c r="CK189" s="797"/>
      <c r="CL189" s="797"/>
      <c r="CM189" s="797"/>
      <c r="CN189" s="797"/>
      <c r="CO189" s="797"/>
      <c r="CP189" s="797"/>
      <c r="CQ189" s="797"/>
      <c r="CR189" s="797"/>
      <c r="CS189" s="797"/>
      <c r="CT189" s="797"/>
      <c r="CU189" s="797"/>
    </row>
    <row r="190" spans="1:99" x14ac:dyDescent="0.25">
      <c r="A190" s="277">
        <f>(O188+O187)+A186</f>
        <v>235.94303438145667</v>
      </c>
      <c r="B190" s="180">
        <f>(A188+B188)/2</f>
        <v>219.59720268114853</v>
      </c>
      <c r="C190" s="163">
        <f>(C188)</f>
        <v>1.571365662515621E-4</v>
      </c>
      <c r="D190" s="154">
        <f>(D187*D188*D189*B189*A187)</f>
        <v>8.0699553569450705E+25</v>
      </c>
      <c r="E190" s="154">
        <f>(C190*A187)</f>
        <v>7.679555283543496E-4</v>
      </c>
      <c r="F190" s="161">
        <f>(F192/O192)*O193-F193</f>
        <v>33.706738240907782</v>
      </c>
      <c r="G190" s="161"/>
      <c r="H190" s="161"/>
      <c r="I190" s="161"/>
      <c r="J190" s="161"/>
      <c r="K190" s="161"/>
      <c r="L190" s="161"/>
      <c r="M190" s="161"/>
      <c r="N190" s="162">
        <f>(F190+Q199)*F193</f>
        <v>-1791.6947809044802</v>
      </c>
      <c r="O190" s="152">
        <f>H189</f>
        <v>1</v>
      </c>
      <c r="P190" s="152">
        <f>IF(Q199&lt;100,1,-1)</f>
        <v>1</v>
      </c>
      <c r="Q190" s="162">
        <f>Q189+F197</f>
        <v>4.7404536799301544</v>
      </c>
      <c r="R190" s="171"/>
      <c r="S190" s="151"/>
      <c r="T190" s="277">
        <f>(AH188+AH187)+T186</f>
        <v>244.75322306088381</v>
      </c>
      <c r="U190" s="180">
        <f>(T188+U188)/2</f>
        <v>228.00186175200696</v>
      </c>
      <c r="V190" s="163">
        <f>(V188)</f>
        <v>3.3404904046163014E-4</v>
      </c>
      <c r="W190" s="154">
        <f>(W187*W188*W189*U189*T187)</f>
        <v>8.1752531413475879E+22</v>
      </c>
      <c r="X190" s="154">
        <f>(V190*T187)</f>
        <v>1.1438355609619969E-3</v>
      </c>
      <c r="Y190" s="161">
        <f>(Y192/AH192)*AH193-Y193</f>
        <v>32.727535344120966</v>
      </c>
      <c r="Z190" s="161"/>
      <c r="AA190" s="161"/>
      <c r="AB190" s="161"/>
      <c r="AC190" s="161"/>
      <c r="AD190" s="161"/>
      <c r="AE190" s="161"/>
      <c r="AF190" s="161"/>
      <c r="AG190" s="162">
        <f>(Y190+AJ199)*Y193</f>
        <v>-2021.8702424827129</v>
      </c>
      <c r="AH190" s="152">
        <f>AA189</f>
        <v>1</v>
      </c>
      <c r="AI190" s="152">
        <f>IF(AJ199&lt;100,1,-1)</f>
        <v>1</v>
      </c>
      <c r="AJ190" s="162">
        <f>AJ189+Y197</f>
        <v>2.0844455527638397</v>
      </c>
      <c r="AK190" s="171"/>
      <c r="AL190" s="151"/>
      <c r="AM190" s="277">
        <f>(BA188+BA187)+AM186</f>
        <v>248.29811670666763</v>
      </c>
      <c r="AN190" s="180">
        <f>(AM188+AN188)/2</f>
        <v>231.37864885371209</v>
      </c>
      <c r="AO190" s="163">
        <f>(AO188)</f>
        <v>4.8906066920852674E-4</v>
      </c>
      <c r="AP190" s="154">
        <f>(AP187*AP188*AP189*AN189*AM187)</f>
        <v>2.4296557643587345E+21</v>
      </c>
      <c r="AQ190" s="154">
        <f>(AO190*AM187)</f>
        <v>1.3923903976353384E-3</v>
      </c>
      <c r="AR190" s="161">
        <f>(AR192/BA192)*BA193-AR193</f>
        <v>32.68040117224988</v>
      </c>
      <c r="AS190" s="161"/>
      <c r="AT190" s="161"/>
      <c r="AU190" s="161"/>
      <c r="AV190" s="161"/>
      <c r="AW190" s="161"/>
      <c r="AX190" s="161"/>
      <c r="AY190" s="161"/>
      <c r="AZ190" s="162">
        <f>(AR190+BC199)*AR193</f>
        <v>-1954.307858784797</v>
      </c>
      <c r="BA190" s="152">
        <f>AT189</f>
        <v>1</v>
      </c>
      <c r="BB190" s="152">
        <f>IF(BC199&lt;100,1,-1)</f>
        <v>1</v>
      </c>
      <c r="BC190" s="162">
        <f>BC189+AR197</f>
        <v>1.4519105312889771</v>
      </c>
      <c r="BD190" s="171"/>
      <c r="BE190" s="151"/>
      <c r="BF190" s="277">
        <f>(BT188+BT187)+BF186</f>
        <v>246.18905822357451</v>
      </c>
      <c r="BG190" s="180">
        <f>(BF188+BG188)/2</f>
        <v>229.54511117719375</v>
      </c>
      <c r="BH190" s="163">
        <f>(BH188)</f>
        <v>5.2297654827705784E-4</v>
      </c>
      <c r="BI190" s="154">
        <f>(BI187*BI188*BI189*BG189*BF187)</f>
        <v>1.4993193508615558E+21</v>
      </c>
      <c r="BJ190" s="154">
        <f>(BH190*BF187)</f>
        <v>1.4639150818429023E-3</v>
      </c>
      <c r="BK190" s="161">
        <f>(BK192/BT192)*BT193-BK193</f>
        <v>12.553471916494091</v>
      </c>
      <c r="BL190" s="161"/>
      <c r="BM190" s="161"/>
      <c r="BN190" s="161"/>
      <c r="BO190" s="161"/>
      <c r="BP190" s="161"/>
      <c r="BQ190" s="161"/>
      <c r="BR190" s="161"/>
      <c r="BS190" s="162">
        <f>(BK190+BV199)*BK193</f>
        <v>-279.43521794048138</v>
      </c>
      <c r="BT190" s="152">
        <f>BM189</f>
        <v>1</v>
      </c>
      <c r="BU190" s="152">
        <f>IF(BV199&lt;100,1,-1)</f>
        <v>1</v>
      </c>
      <c r="BV190" s="162">
        <f>BV189+BK197</f>
        <v>1.1090064441429979</v>
      </c>
      <c r="BW190" s="171"/>
      <c r="BX190" s="151"/>
      <c r="BY190" s="797"/>
      <c r="BZ190" s="797"/>
      <c r="CA190" s="797"/>
      <c r="CB190" s="797"/>
      <c r="CC190" s="797"/>
      <c r="CD190" s="797"/>
      <c r="CE190" s="797"/>
      <c r="CF190" s="797"/>
      <c r="CG190" s="797"/>
      <c r="CH190" s="797"/>
      <c r="CI190" s="797"/>
      <c r="CJ190" s="797"/>
      <c r="CK190" s="797"/>
      <c r="CL190" s="797"/>
      <c r="CM190" s="797"/>
      <c r="CN190" s="797"/>
      <c r="CO190" s="797"/>
      <c r="CP190" s="797"/>
      <c r="CQ190" s="797"/>
      <c r="CR190" s="797"/>
      <c r="CS190" s="797"/>
      <c r="CT190" s="797"/>
      <c r="CU190" s="797"/>
    </row>
    <row r="191" spans="1:99" x14ac:dyDescent="0.25">
      <c r="A191" s="277">
        <f>(O188*-1-O187)+A186</f>
        <v>198.87039701305193</v>
      </c>
      <c r="B191" s="154">
        <f>(B188+B187)/2</f>
        <v>212.64608317457265</v>
      </c>
      <c r="C191" s="154">
        <f>(B187+A189)/2</f>
        <v>208.01200350352207</v>
      </c>
      <c r="D191" s="154">
        <f>D187</f>
        <v>248945111017.24347</v>
      </c>
      <c r="E191" s="154">
        <f>(B188+A186)/2</f>
        <v>216.18491935367612</v>
      </c>
      <c r="F191" s="161">
        <f>(F193/O193)</f>
        <v>-19.780972598618092</v>
      </c>
      <c r="G191" s="161"/>
      <c r="H191" s="161"/>
      <c r="I191" s="161"/>
      <c r="J191" s="161"/>
      <c r="K191" s="161"/>
      <c r="L191" s="161"/>
      <c r="M191" s="161"/>
      <c r="N191" s="161"/>
      <c r="O191" s="152">
        <f>H187</f>
        <v>1</v>
      </c>
      <c r="P191" s="152">
        <f>IF(Q199&lt;0,-1,1)</f>
        <v>1</v>
      </c>
      <c r="Q191" s="183">
        <f>Q123</f>
        <v>1019.3570218274934</v>
      </c>
      <c r="R191" s="184" t="s">
        <v>51</v>
      </c>
      <c r="S191" s="151"/>
      <c r="T191" s="277">
        <f>(AH188*-1-AH187)+T186</f>
        <v>204.64846571361684</v>
      </c>
      <c r="U191" s="154">
        <f>(U188+U187)/2</f>
        <v>220.4822197493944</v>
      </c>
      <c r="V191" s="154">
        <f>(U187+T189)/2</f>
        <v>215.46912508098603</v>
      </c>
      <c r="W191" s="154">
        <f>W187</f>
        <v>9670131986.1414738</v>
      </c>
      <c r="X191" s="154">
        <f>(U188+T186)/2</f>
        <v>223.84480573542447</v>
      </c>
      <c r="Y191" s="161">
        <f>(Y193/AH193)</f>
        <v>-39.361405654762841</v>
      </c>
      <c r="Z191" s="161"/>
      <c r="AA191" s="161"/>
      <c r="AB191" s="161"/>
      <c r="AC191" s="161"/>
      <c r="AD191" s="161"/>
      <c r="AE191" s="161"/>
      <c r="AF191" s="161"/>
      <c r="AG191" s="161"/>
      <c r="AH191" s="152">
        <f>AA187</f>
        <v>1</v>
      </c>
      <c r="AI191" s="152">
        <f>IF(AJ199&lt;0,-1,1)</f>
        <v>1</v>
      </c>
      <c r="AJ191" s="183">
        <f>Q123</f>
        <v>1019.3570218274934</v>
      </c>
      <c r="AK191" s="184" t="s">
        <v>51</v>
      </c>
      <c r="AL191" s="151"/>
      <c r="AM191" s="277">
        <f>(BA188*-1-BA187)+AM186</f>
        <v>206.97563029332602</v>
      </c>
      <c r="AN191" s="154">
        <f>(AN188+AN187)/2</f>
        <v>223.63068265121058</v>
      </c>
      <c r="AO191" s="154">
        <f>(AN187+AM189)/2</f>
        <v>218.46537184954286</v>
      </c>
      <c r="AP191" s="154">
        <f>AP187</f>
        <v>1839301322.7452567</v>
      </c>
      <c r="AQ191" s="154">
        <f>(AN188+AM186)/2</f>
        <v>226.92510577602062</v>
      </c>
      <c r="AR191" s="161">
        <f>(AR193/BA193)</f>
        <v>-16.886880345790892</v>
      </c>
      <c r="AS191" s="161"/>
      <c r="AT191" s="161"/>
      <c r="AU191" s="161"/>
      <c r="AV191" s="161"/>
      <c r="AW191" s="161"/>
      <c r="AX191" s="161"/>
      <c r="AY191" s="161"/>
      <c r="AZ191" s="161"/>
      <c r="BA191" s="152">
        <f>AT187</f>
        <v>1</v>
      </c>
      <c r="BB191" s="152">
        <f>IF(BC199&lt;0,-1,1)</f>
        <v>1</v>
      </c>
      <c r="BC191" s="183">
        <f>BC123</f>
        <v>1265.8551491533392</v>
      </c>
      <c r="BD191" s="184" t="s">
        <v>51</v>
      </c>
      <c r="BE191" s="151"/>
      <c r="BF191" s="277">
        <f>(BT188*-1-BT187)+BF186</f>
        <v>205.53746387648053</v>
      </c>
      <c r="BG191" s="154">
        <f>(BG188+BG187)/2</f>
        <v>221.92293723711362</v>
      </c>
      <c r="BH191" s="154">
        <f>(BG187+BF189)/2</f>
        <v>216.84148794372686</v>
      </c>
      <c r="BI191" s="154">
        <f>BI187</f>
        <v>1481511461.3883829</v>
      </c>
      <c r="BJ191" s="154">
        <f>(BG188+BF186)/2</f>
        <v>225.16346146691725</v>
      </c>
      <c r="BK191" s="161">
        <f>(BK193/BT193)</f>
        <v>-11.52065874402626</v>
      </c>
      <c r="BL191" s="161"/>
      <c r="BM191" s="161"/>
      <c r="BN191" s="161"/>
      <c r="BO191" s="161"/>
      <c r="BP191" s="161"/>
      <c r="BQ191" s="161"/>
      <c r="BR191" s="161"/>
      <c r="BS191" s="161"/>
      <c r="BT191" s="152">
        <f>BM187</f>
        <v>1</v>
      </c>
      <c r="BU191" s="152">
        <f>IF(BV199&lt;0,-1,1)</f>
        <v>1</v>
      </c>
      <c r="BV191" s="183">
        <f>BC123</f>
        <v>1265.8551491533392</v>
      </c>
      <c r="BW191" s="184" t="s">
        <v>51</v>
      </c>
      <c r="BX191" s="151"/>
      <c r="BY191" s="797"/>
      <c r="BZ191" s="797"/>
      <c r="CA191" s="797"/>
      <c r="CB191" s="797"/>
      <c r="CC191" s="797"/>
      <c r="CD191" s="797"/>
      <c r="CE191" s="797"/>
      <c r="CF191" s="797"/>
      <c r="CG191" s="797"/>
      <c r="CH191" s="797"/>
      <c r="CI191" s="797"/>
      <c r="CJ191" s="797"/>
      <c r="CK191" s="797"/>
      <c r="CL191" s="797"/>
      <c r="CM191" s="797"/>
      <c r="CN191" s="797"/>
      <c r="CO191" s="797"/>
      <c r="CP191" s="797"/>
      <c r="CQ191" s="797"/>
      <c r="CR191" s="797"/>
      <c r="CS191" s="797"/>
      <c r="CT191" s="797"/>
      <c r="CU191" s="797"/>
    </row>
    <row r="192" spans="1:99" x14ac:dyDescent="0.25">
      <c r="A192" s="163">
        <f>(A191-A190)+A186-A188</f>
        <v>-43.897204023349587</v>
      </c>
      <c r="B192" s="163">
        <f>(A192*-1)+A193</f>
        <v>18.536318684202371</v>
      </c>
      <c r="C192" s="163">
        <f>(B192/2)+A187</f>
        <v>14.155344716413865</v>
      </c>
      <c r="D192" s="163">
        <f>(C200+C193+B199+B192+A187)*-1</f>
        <v>8.0044882924170508</v>
      </c>
      <c r="E192" s="163">
        <f>(C192*A187)*D192</f>
        <v>553.74884847462283</v>
      </c>
      <c r="F192" s="152">
        <f>(E192*A187)</f>
        <v>2706.2732733076646</v>
      </c>
      <c r="G192" s="152">
        <f>(F192+E192)</f>
        <v>3260.0221217822873</v>
      </c>
      <c r="H192" s="161"/>
      <c r="I192" s="161"/>
      <c r="J192" s="161"/>
      <c r="K192" s="161"/>
      <c r="L192" s="161"/>
      <c r="M192" s="161"/>
      <c r="N192" s="161"/>
      <c r="O192" s="161">
        <v>785.5</v>
      </c>
      <c r="P192" s="152">
        <f>IF(N190&gt;-1,1,-1)</f>
        <v>-1</v>
      </c>
      <c r="Q192" s="191">
        <f>N124</f>
        <v>0.32600000000000001</v>
      </c>
      <c r="R192" s="192">
        <f>(F201+H196)/2</f>
        <v>1811.5999302417727</v>
      </c>
      <c r="S192" s="151"/>
      <c r="T192" s="163">
        <f>(T191-T190)+T186-T188</f>
        <v>-48.418869380431971</v>
      </c>
      <c r="U192" s="163">
        <f>(T192*-1)+T193</f>
        <v>20.052378673633484</v>
      </c>
      <c r="V192" s="163">
        <f>(U192/2)+T187</f>
        <v>13.45034394412022</v>
      </c>
      <c r="W192" s="163">
        <f>(V200+V193+U199+U192+T187)*-1</f>
        <v>7.7277909057417844</v>
      </c>
      <c r="X192" s="163">
        <f>(V192*T187)*W192</f>
        <v>355.91157987687927</v>
      </c>
      <c r="Y192" s="152">
        <f>(X192*T187)</f>
        <v>1218.696276028076</v>
      </c>
      <c r="Z192" s="152">
        <f>(Y192+X192)</f>
        <v>1574.6078559049552</v>
      </c>
      <c r="AA192" s="161"/>
      <c r="AB192" s="161"/>
      <c r="AC192" s="161"/>
      <c r="AD192" s="161"/>
      <c r="AE192" s="161"/>
      <c r="AF192" s="161"/>
      <c r="AG192" s="161"/>
      <c r="AH192" s="161">
        <v>785.5</v>
      </c>
      <c r="AI192" s="152">
        <f>IF(AG190&gt;-1,1,-1)</f>
        <v>-1</v>
      </c>
      <c r="AJ192" s="191">
        <f>H124</f>
        <v>0.1797</v>
      </c>
      <c r="AK192" s="192">
        <f>(Y201+AA196)/2</f>
        <v>1785.6528651152332</v>
      </c>
      <c r="AL192" s="151"/>
      <c r="AM192" s="163">
        <f>(AM191-AM190)+AM186-AM188</f>
        <v>-50.229572568724592</v>
      </c>
      <c r="AN192" s="163">
        <f>(AM192*-1)+AM193</f>
        <v>20.661243206670804</v>
      </c>
      <c r="AO192" s="163">
        <f>(AN192/2)+AM187</f>
        <v>13.177692499240237</v>
      </c>
      <c r="AP192" s="163">
        <f>(AO200+AO193+AN199+AN192+AM187)*-1</f>
        <v>7.621908409953658</v>
      </c>
      <c r="AQ192" s="163">
        <f>(AO192*AM187)*AP192</f>
        <v>285.95742428831829</v>
      </c>
      <c r="AR192" s="152">
        <f>(AQ192*AM187)</f>
        <v>814.14106015918139</v>
      </c>
      <c r="AS192" s="152">
        <f>(AR192+AQ192)</f>
        <v>1100.0984844474997</v>
      </c>
      <c r="AT192" s="161"/>
      <c r="AU192" s="161"/>
      <c r="AV192" s="161"/>
      <c r="AW192" s="161"/>
      <c r="AX192" s="161"/>
      <c r="AY192" s="161"/>
      <c r="AZ192" s="161"/>
      <c r="BA192" s="161">
        <v>785.5</v>
      </c>
      <c r="BB192" s="152">
        <f>IF(AZ190&gt;-1,1,-1)</f>
        <v>-1</v>
      </c>
      <c r="BC192" s="191">
        <f>AZ124</f>
        <v>0.32600000000000001</v>
      </c>
      <c r="BD192" s="192">
        <f>(AR201+AT196)/2</f>
        <v>2504.2049654653947</v>
      </c>
      <c r="BE192" s="151"/>
      <c r="BF192" s="163">
        <f>(BF191-BF190)+BF186-BF188</f>
        <v>-49.414893767646959</v>
      </c>
      <c r="BG192" s="163">
        <f>(BF192*-1)+BF193</f>
        <v>20.325797173546988</v>
      </c>
      <c r="BH192" s="163">
        <f>(BG192/2)+BF187</f>
        <v>12.962096919214517</v>
      </c>
      <c r="BI192" s="163">
        <f>(BH200+BH193+BG199+BG192+BF187)*-1</f>
        <v>7.497338318284605</v>
      </c>
      <c r="BJ192" s="163">
        <f>(BH192*BF187)*BI192</f>
        <v>272.02952553352844</v>
      </c>
      <c r="BK192" s="152">
        <f>(BJ192*BF187)</f>
        <v>761.46459424817544</v>
      </c>
      <c r="BL192" s="152">
        <f>(BK192+BJ192)</f>
        <v>1033.4941197817038</v>
      </c>
      <c r="BM192" s="161"/>
      <c r="BN192" s="161"/>
      <c r="BO192" s="161"/>
      <c r="BP192" s="161"/>
      <c r="BQ192" s="161"/>
      <c r="BR192" s="161"/>
      <c r="BS192" s="161"/>
      <c r="BT192" s="161">
        <v>785.5</v>
      </c>
      <c r="BU192" s="152">
        <f>IF(BS190&gt;-1,1,-1)</f>
        <v>-1</v>
      </c>
      <c r="BV192" s="191">
        <f>AT124</f>
        <v>0.1797</v>
      </c>
      <c r="BW192" s="192">
        <f>(BK201+BM196)/2</f>
        <v>2514.6955680172769</v>
      </c>
      <c r="BX192" s="151"/>
      <c r="BY192" s="797"/>
      <c r="BZ192" s="797"/>
      <c r="CA192" s="797"/>
      <c r="CB192" s="797"/>
      <c r="CC192" s="797"/>
      <c r="CD192" s="797"/>
      <c r="CE192" s="797"/>
      <c r="CF192" s="797"/>
      <c r="CG192" s="797"/>
      <c r="CH192" s="797"/>
      <c r="CI192" s="797"/>
      <c r="CJ192" s="797"/>
      <c r="CK192" s="797"/>
      <c r="CL192" s="797"/>
      <c r="CM192" s="797"/>
      <c r="CN192" s="797"/>
      <c r="CO192" s="797"/>
      <c r="CP192" s="797"/>
      <c r="CQ192" s="797"/>
      <c r="CR192" s="797"/>
      <c r="CS192" s="797"/>
      <c r="CT192" s="797"/>
      <c r="CU192" s="797"/>
    </row>
    <row r="193" spans="1:99" x14ac:dyDescent="0.25">
      <c r="A193" s="163">
        <f>(A191-A190)+A186-A189</f>
        <v>-25.360885339147217</v>
      </c>
      <c r="B193" s="163">
        <f>A194+(A193*-1)+A192</f>
        <v>-87.794408046699175</v>
      </c>
      <c r="C193" s="154">
        <f>(B193/10)</f>
        <v>-8.7794408046699175</v>
      </c>
      <c r="D193" s="154"/>
      <c r="E193" s="154"/>
      <c r="F193" s="161">
        <f>(Q199*-1)</f>
        <v>-28.706819988182929</v>
      </c>
      <c r="G193" s="161"/>
      <c r="H193" s="161"/>
      <c r="I193" s="161"/>
      <c r="J193" s="161"/>
      <c r="K193" s="161"/>
      <c r="L193" s="161"/>
      <c r="M193" s="161"/>
      <c r="N193" s="161"/>
      <c r="O193" s="161">
        <f>(H201/1000)*8.9</f>
        <v>1.4512340000000001</v>
      </c>
      <c r="P193" s="152">
        <f>(P195+O197)/2</f>
        <v>973.10228492397255</v>
      </c>
      <c r="Q193" s="149"/>
      <c r="R193" s="192">
        <f>(P196+P195)/2</f>
        <v>978.43289804251231</v>
      </c>
      <c r="S193" s="151"/>
      <c r="T193" s="163">
        <f>(T191-T190)+T186-T189</f>
        <v>-28.366490706798487</v>
      </c>
      <c r="U193" s="163">
        <f>T194+(T193*-1)+T192</f>
        <v>-96.837738760863942</v>
      </c>
      <c r="V193" s="154">
        <f>(U193/10)</f>
        <v>-9.6837738760863949</v>
      </c>
      <c r="W193" s="154"/>
      <c r="X193" s="154"/>
      <c r="Y193" s="161">
        <f>(AJ199*-1)</f>
        <v>-31.486447948225752</v>
      </c>
      <c r="Z193" s="161"/>
      <c r="AA193" s="161"/>
      <c r="AB193" s="161"/>
      <c r="AC193" s="161"/>
      <c r="AD193" s="161"/>
      <c r="AE193" s="161"/>
      <c r="AF193" s="161"/>
      <c r="AG193" s="161"/>
      <c r="AH193" s="161">
        <f>(AA201/1000)*8.9</f>
        <v>0.79993200000000009</v>
      </c>
      <c r="AI193" s="152">
        <f>(AI195+AH197)/2</f>
        <v>975.97750064459569</v>
      </c>
      <c r="AJ193" s="149"/>
      <c r="AK193" s="192">
        <f>(AI196+AI195)/2</f>
        <v>981.55690483870626</v>
      </c>
      <c r="AL193" s="151"/>
      <c r="AM193" s="163">
        <f>(AM191-AM190)+AM186-AM189</f>
        <v>-29.568329362053788</v>
      </c>
      <c r="AN193" s="163">
        <f>AM194+(AM193*-1)+AM192</f>
        <v>-100.45914513744918</v>
      </c>
      <c r="AO193" s="154">
        <f>(AN193/10)</f>
        <v>-10.045914513744918</v>
      </c>
      <c r="AP193" s="154"/>
      <c r="AQ193" s="154"/>
      <c r="AR193" s="161">
        <f>(BC199*-1)</f>
        <v>-30.790575070335404</v>
      </c>
      <c r="AS193" s="161"/>
      <c r="AT193" s="161"/>
      <c r="AU193" s="161"/>
      <c r="AV193" s="161"/>
      <c r="AW193" s="161"/>
      <c r="AX193" s="161"/>
      <c r="AY193" s="161"/>
      <c r="AZ193" s="161"/>
      <c r="BA193" s="161">
        <f>(AT201/1000)*8.9</f>
        <v>1.8233429999999999</v>
      </c>
      <c r="BB193" s="152">
        <f>(BB195+BA197)/2</f>
        <v>1227.6406101577563</v>
      </c>
      <c r="BC193" s="149"/>
      <c r="BD193" s="192">
        <f>(BB196+BB195)/2</f>
        <v>1234.770640405457</v>
      </c>
      <c r="BE193" s="151"/>
      <c r="BF193" s="163">
        <f>(BF191-BF190)+BF186-BF189</f>
        <v>-29.089096594099971</v>
      </c>
      <c r="BG193" s="163">
        <f>BF194+(BF193*-1)+BF192</f>
        <v>-98.829787535293917</v>
      </c>
      <c r="BH193" s="154">
        <f>(BG193/10)</f>
        <v>-9.8829787535293914</v>
      </c>
      <c r="BI193" s="154"/>
      <c r="BJ193" s="154"/>
      <c r="BK193" s="161">
        <f>(BV199*-1)</f>
        <v>-11.579149128469682</v>
      </c>
      <c r="BL193" s="161"/>
      <c r="BM193" s="161"/>
      <c r="BN193" s="161"/>
      <c r="BO193" s="161"/>
      <c r="BP193" s="161"/>
      <c r="BQ193" s="161"/>
      <c r="BR193" s="161"/>
      <c r="BS193" s="161"/>
      <c r="BT193" s="161">
        <f>(BM201/1000)*8.9</f>
        <v>1.005077</v>
      </c>
      <c r="BU193" s="152">
        <f>(BU195+BT197)/2</f>
        <v>1227.89412862419</v>
      </c>
      <c r="BV193" s="149"/>
      <c r="BW193" s="192">
        <f>(BU196+BU195)/2</f>
        <v>1234.9634793384175</v>
      </c>
      <c r="BX193" s="151"/>
      <c r="BY193" s="797"/>
      <c r="BZ193" s="797"/>
      <c r="CA193" s="797"/>
      <c r="CB193" s="797"/>
      <c r="CC193" s="797"/>
      <c r="CD193" s="797"/>
      <c r="CE193" s="797"/>
      <c r="CF193" s="797"/>
      <c r="CG193" s="797"/>
      <c r="CH193" s="797"/>
      <c r="CI193" s="797"/>
      <c r="CJ193" s="797"/>
      <c r="CK193" s="797"/>
      <c r="CL193" s="797"/>
      <c r="CM193" s="797"/>
      <c r="CN193" s="797"/>
      <c r="CO193" s="797"/>
      <c r="CP193" s="797"/>
      <c r="CQ193" s="797"/>
      <c r="CR193" s="797"/>
      <c r="CS193" s="797"/>
      <c r="CT193" s="797"/>
      <c r="CU193" s="797"/>
    </row>
    <row r="194" spans="1:99" x14ac:dyDescent="0.25">
      <c r="A194" s="163">
        <f>(A193+A192)</f>
        <v>-69.258089362496804</v>
      </c>
      <c r="B194" s="154"/>
      <c r="C194" s="154">
        <f>((F194+E194*-1)+E198)*10-A187+O194*-1-C190*111</f>
        <v>7.8218065399351486</v>
      </c>
      <c r="D194" s="154"/>
      <c r="E194" s="154">
        <f>(E198+O194+F194)</f>
        <v>-0.2080838600846624</v>
      </c>
      <c r="F194" s="161">
        <f>(O194*E198)</f>
        <v>6.9945699840908508</v>
      </c>
      <c r="G194" s="161"/>
      <c r="H194" s="191">
        <f>(P195+H195)/2</f>
        <v>742.06670112193069</v>
      </c>
      <c r="I194" s="161"/>
      <c r="J194" s="161"/>
      <c r="K194" s="161"/>
      <c r="L194" s="161"/>
      <c r="M194" s="161"/>
      <c r="N194" s="161">
        <f>(A190-A186)-(A186-B191)</f>
        <v>13.775686161520724</v>
      </c>
      <c r="O194" s="152">
        <f>(P194+A187+C190*10)</f>
        <v>-1.1569485521001592</v>
      </c>
      <c r="P194" s="161">
        <f>E198</f>
        <v>-6.045705292075354</v>
      </c>
      <c r="Q194" s="162">
        <f>(Q190*Q189*10)</f>
        <v>-53.427669645245658</v>
      </c>
      <c r="R194" s="200">
        <f>(P205+O205+P207+O207+N207+P206+O206+N206+H208+F208+E208+E207+F207+H207+H206+F206+E206+E205+F205+H205)</f>
        <v>0</v>
      </c>
      <c r="S194" s="151"/>
      <c r="T194" s="163">
        <f>(T193+T192)</f>
        <v>-76.785360087230458</v>
      </c>
      <c r="U194" s="154"/>
      <c r="V194" s="154">
        <f>((Y194+X194*-1)+X198)*10-T187+AH194*-1-V190*111</f>
        <v>10.288030892877524</v>
      </c>
      <c r="W194" s="154"/>
      <c r="X194" s="154">
        <f>(X198+AH194+Y194)</f>
        <v>-8.088866930069738E-2</v>
      </c>
      <c r="Y194" s="161">
        <f>(AH194*X198)</f>
        <v>5.8464727818023503</v>
      </c>
      <c r="Z194" s="161"/>
      <c r="AA194" s="191">
        <f>(AI195+AA195)/2</f>
        <v>744.78324666709477</v>
      </c>
      <c r="AB194" s="161"/>
      <c r="AC194" s="161"/>
      <c r="AD194" s="161"/>
      <c r="AE194" s="161"/>
      <c r="AF194" s="161"/>
      <c r="AG194" s="161">
        <f>(T190-T186)-(T186-U191)</f>
        <v>15.833754035777559</v>
      </c>
      <c r="AH194" s="152">
        <f>(AI194+T187+V190*10)</f>
        <v>-1.2499331766974764</v>
      </c>
      <c r="AI194" s="161">
        <f>X198</f>
        <v>-4.6774282744055711</v>
      </c>
      <c r="AJ194" s="162">
        <f>(AJ190*AJ189*10)</f>
        <v>-39.208704634728974</v>
      </c>
      <c r="AK194" s="200">
        <f>(AI205+AH205+AI207+AH207+AG207+AI206+AH206+AG206+AA208+Y208+X208+X207+Y207+AA207+AA206+Y206+X206+X205+Y205+AA205)</f>
        <v>0</v>
      </c>
      <c r="AL194" s="151"/>
      <c r="AM194" s="163">
        <f>(AM193+AM192)</f>
        <v>-79.79790193077838</v>
      </c>
      <c r="AN194" s="154"/>
      <c r="AO194" s="154">
        <f>((AR194+AQ194*-1)+AQ198)*10-AM187+BA194*-1-AO190*111</f>
        <v>11.249451400786295</v>
      </c>
      <c r="AP194" s="154"/>
      <c r="AQ194" s="154">
        <f>(AQ198+BA194+AR194)</f>
        <v>-0.10104622711946565</v>
      </c>
      <c r="AR194" s="161">
        <f>(BA194*AQ198)</f>
        <v>5.3237894629271416</v>
      </c>
      <c r="AS194" s="161"/>
      <c r="AT194" s="191">
        <f>(BB195+AT195)/2</f>
        <v>937.02253032820681</v>
      </c>
      <c r="AU194" s="161"/>
      <c r="AV194" s="161"/>
      <c r="AW194" s="161"/>
      <c r="AX194" s="161"/>
      <c r="AY194" s="161"/>
      <c r="AZ194" s="161">
        <f>(AM190-AM186)-(AM186-AN191)</f>
        <v>16.655052357884557</v>
      </c>
      <c r="BA194" s="152">
        <f>(BB194+AM187+AO190*10)</f>
        <v>-1.2864370937248435</v>
      </c>
      <c r="BB194" s="161">
        <f>AQ198</f>
        <v>-4.138398596321764</v>
      </c>
      <c r="BC194" s="162">
        <f>(BC190*BC189*10)</f>
        <v>-28.108108983606822</v>
      </c>
      <c r="BD194" s="200">
        <f>(BB205+BA205+BB207+BA207+AZ207+BB206+BA206+AZ206+AT208+AR208+AQ208+AQ207+AR207+AT207+AT206+AR206+AQ206+AQ205+AR205+AT205)</f>
        <v>0</v>
      </c>
      <c r="BE194" s="151"/>
      <c r="BF194" s="163">
        <f>(BF193+BF192)</f>
        <v>-78.503990361746929</v>
      </c>
      <c r="BG194" s="154"/>
      <c r="BH194" s="154">
        <f>((BK194+BJ194*-1)+BJ198)*10-BF187+BT194*-1-BH190*111</f>
        <v>11.059209407203323</v>
      </c>
      <c r="BI194" s="154"/>
      <c r="BJ194" s="154">
        <f>(BJ198+BT194+BK194)</f>
        <v>-0.18615953181255929</v>
      </c>
      <c r="BK194" s="161">
        <f>(BT194*BJ198)</f>
        <v>5.1485336818390701</v>
      </c>
      <c r="BL194" s="161"/>
      <c r="BM194" s="191">
        <f>(BU195+BM195)/2</f>
        <v>937.07612965937574</v>
      </c>
      <c r="BN194" s="161"/>
      <c r="BO194" s="161"/>
      <c r="BP194" s="161"/>
      <c r="BQ194" s="161"/>
      <c r="BR194" s="161"/>
      <c r="BS194" s="161">
        <f>(BF190-BF186)-(BF186-BG191)</f>
        <v>16.385473360633085</v>
      </c>
      <c r="BT194" s="152">
        <f>(BU194+BF187+BH190*10)</f>
        <v>-1.2651325578639179</v>
      </c>
      <c r="BU194" s="161">
        <f>BJ198</f>
        <v>-4.0695606557877113</v>
      </c>
      <c r="BV194" s="162">
        <f>(BV190*BV189*10)</f>
        <v>-22.399308689480538</v>
      </c>
      <c r="BW194" s="200">
        <f>(BU205+BT205+BU207+BT207+BS207+BU206+BT206+BS206+BM208+BK208+BJ208+BJ207+BK207+BM207+BM206+BK206+BJ206+BJ205+BK205+BM205)</f>
        <v>0</v>
      </c>
      <c r="BX194" s="151"/>
      <c r="BY194" s="797"/>
      <c r="BZ194" s="797"/>
      <c r="CA194" s="797"/>
      <c r="CB194" s="797"/>
      <c r="CC194" s="797"/>
      <c r="CD194" s="797"/>
      <c r="CE194" s="797"/>
      <c r="CF194" s="797"/>
      <c r="CG194" s="797"/>
      <c r="CH194" s="797"/>
      <c r="CI194" s="797"/>
      <c r="CJ194" s="797"/>
      <c r="CK194" s="797"/>
      <c r="CL194" s="797"/>
      <c r="CM194" s="797"/>
      <c r="CN194" s="797"/>
      <c r="CO194" s="797"/>
      <c r="CP194" s="797"/>
      <c r="CQ194" s="797"/>
      <c r="CR194" s="797"/>
      <c r="CS194" s="797"/>
      <c r="CT194" s="797"/>
      <c r="CU194" s="797"/>
    </row>
    <row r="195" spans="1:99" x14ac:dyDescent="0.25">
      <c r="A195" s="163">
        <f>(A186+A194)</f>
        <v>148.14862633475749</v>
      </c>
      <c r="B195" s="154">
        <f>(A186+A195)/2</f>
        <v>182.77767101600591</v>
      </c>
      <c r="C195" s="154">
        <f>(E191-A186)-(A186-B195)</f>
        <v>-35.850841024826565</v>
      </c>
      <c r="D195" s="163">
        <f>(B191+C191)/2</f>
        <v>210.32904333904736</v>
      </c>
      <c r="E195" s="163">
        <f>(A190+A196)</f>
        <v>436.03522773808675</v>
      </c>
      <c r="F195" s="191">
        <f>(G192*2)-G199</f>
        <v>6363.8911289374</v>
      </c>
      <c r="G195" s="191">
        <f>(A187*F195)</f>
        <v>31101.515649061064</v>
      </c>
      <c r="H195" s="191">
        <f>(N197+P195)/2</f>
        <v>495.03927796426962</v>
      </c>
      <c r="I195" s="191"/>
      <c r="J195" s="191"/>
      <c r="K195" s="191"/>
      <c r="L195" s="191"/>
      <c r="M195" s="191"/>
      <c r="N195" s="201">
        <f>(O195+O196)/2</f>
        <v>1003.8260976552106</v>
      </c>
      <c r="O195" s="205">
        <f>(A189+C191)/2*Q200/Q192</f>
        <v>951.77983244981317</v>
      </c>
      <c r="P195" s="206">
        <f>B188*Q200/Q192</f>
        <v>989.09412427959182</v>
      </c>
      <c r="Q195" s="149">
        <f>(A191+B188)/2</f>
        <v>206.91676001157492</v>
      </c>
      <c r="R195" s="152"/>
      <c r="S195" s="151"/>
      <c r="T195" s="163">
        <f>(T186+T194)</f>
        <v>147.91548430001987</v>
      </c>
      <c r="U195" s="154">
        <f>(T186+T195)/2</f>
        <v>186.3081643436351</v>
      </c>
      <c r="V195" s="154">
        <f>(X191-T186)-(T186-U195)</f>
        <v>-39.248718695441084</v>
      </c>
      <c r="W195" s="163">
        <f>(U191+V191)/2</f>
        <v>217.97567241519022</v>
      </c>
      <c r="X195" s="163">
        <f>(T190+T196)</f>
        <v>450.25772742632648</v>
      </c>
      <c r="Y195" s="191">
        <f>(Z192*2)-Z199</f>
        <v>2993.5724366041486</v>
      </c>
      <c r="Z195" s="191">
        <f>(T187*Y195)</f>
        <v>10250.454851094795</v>
      </c>
      <c r="AA195" s="191">
        <f>(AG197+AI195)/2</f>
        <v>496.85078010726215</v>
      </c>
      <c r="AB195" s="191"/>
      <c r="AC195" s="191"/>
      <c r="AD195" s="191"/>
      <c r="AE195" s="191"/>
      <c r="AF195" s="191"/>
      <c r="AG195" s="201">
        <f>(AH195+AH196)/2</f>
        <v>1007.6169656730565</v>
      </c>
      <c r="AH195" s="205">
        <f>(T189+V191)/2*AJ200/AJ192</f>
        <v>953.65988386815332</v>
      </c>
      <c r="AI195" s="206">
        <f>U188*AJ200/AJ192</f>
        <v>992.71571322692751</v>
      </c>
      <c r="AJ195" s="149">
        <f>(T191+U188)/2</f>
        <v>213.81861639860773</v>
      </c>
      <c r="AK195" s="152"/>
      <c r="AL195" s="151"/>
      <c r="AM195" s="163">
        <f>(AM186+AM194)</f>
        <v>147.83897156921844</v>
      </c>
      <c r="AN195" s="154">
        <f>(AM186+AM195)/2</f>
        <v>187.73792253460763</v>
      </c>
      <c r="AO195" s="154">
        <f>(AQ191-AM186)-(AM186-AN195)</f>
        <v>-40.610718689365399</v>
      </c>
      <c r="AP195" s="163">
        <f>(AN191+AO191)/2</f>
        <v>221.04802725037672</v>
      </c>
      <c r="AQ195" s="163">
        <f>(AM190+AM196)</f>
        <v>455.98551472396986</v>
      </c>
      <c r="AR195" s="191">
        <f>(AS192*2)-AS199</f>
        <v>2044.7360889158272</v>
      </c>
      <c r="AS195" s="191">
        <f>(AM187*AR195)</f>
        <v>5821.5086085585326</v>
      </c>
      <c r="AT195" s="191">
        <f>(AZ197+BB195)/2</f>
        <v>625.01435975555501</v>
      </c>
      <c r="AU195" s="191"/>
      <c r="AV195" s="191"/>
      <c r="AW195" s="191"/>
      <c r="AX195" s="191"/>
      <c r="AY195" s="191"/>
      <c r="AZ195" s="201">
        <f>(BA195+BA196)/2</f>
        <v>1267.838277979587</v>
      </c>
      <c r="BA195" s="205">
        <f>(AM189+AO191)/2*BC200/BC192</f>
        <v>1199.1204891669531</v>
      </c>
      <c r="BB195" s="206">
        <f>AN188*BC200/BC192</f>
        <v>1249.0307009008586</v>
      </c>
      <c r="BC195" s="149">
        <f>(AM191+AN188)/2</f>
        <v>216.59448417268521</v>
      </c>
      <c r="BD195" s="152"/>
      <c r="BE195" s="151"/>
      <c r="BF195" s="163">
        <f>(BF186+BF194)</f>
        <v>147.35927068828059</v>
      </c>
      <c r="BG195" s="154">
        <f>(BF186+BF195)/2</f>
        <v>186.61126586915407</v>
      </c>
      <c r="BH195" s="154">
        <f>(BJ191-BF186)-(BF186-BG195)</f>
        <v>-39.951794763983713</v>
      </c>
      <c r="BI195" s="163">
        <f>(BG191+BH191)/2</f>
        <v>219.38221259042024</v>
      </c>
      <c r="BJ195" s="163">
        <f>(BF190+BF196)</f>
        <v>452.42632168316527</v>
      </c>
      <c r="BK195" s="191">
        <f>(BL192*2)-BL199</f>
        <v>1912.1316305568425</v>
      </c>
      <c r="BL195" s="191">
        <f>(BF187*BK195)</f>
        <v>5352.4356716624479</v>
      </c>
      <c r="BM195" s="191">
        <f>(BS197+BU195)/2</f>
        <v>625.05007855187876</v>
      </c>
      <c r="BN195" s="191"/>
      <c r="BO195" s="191"/>
      <c r="BP195" s="191"/>
      <c r="BQ195" s="191"/>
      <c r="BR195" s="191"/>
      <c r="BS195" s="201">
        <f>(BT195+BT196)/2</f>
        <v>1267.7491240286658</v>
      </c>
      <c r="BT195" s="205">
        <f>(BF189+BH191)/2*BV200/BV192</f>
        <v>1199.6167257672798</v>
      </c>
      <c r="BU195" s="206">
        <f>BG188*BV200/BV192</f>
        <v>1249.1021807668726</v>
      </c>
      <c r="BV195" s="149">
        <f>(BF191+BG188)/2</f>
        <v>215.00056288014378</v>
      </c>
      <c r="BW195" s="152"/>
      <c r="BX195" s="151"/>
      <c r="BY195" s="797"/>
      <c r="BZ195" s="797"/>
      <c r="CA195" s="797"/>
      <c r="CB195" s="797"/>
      <c r="CC195" s="797"/>
      <c r="CD195" s="797"/>
      <c r="CE195" s="797"/>
      <c r="CF195" s="797"/>
      <c r="CG195" s="797"/>
      <c r="CH195" s="797"/>
      <c r="CI195" s="797"/>
      <c r="CJ195" s="797"/>
      <c r="CK195" s="797"/>
      <c r="CL195" s="797"/>
      <c r="CM195" s="797"/>
      <c r="CN195" s="797"/>
      <c r="CO195" s="797"/>
      <c r="CP195" s="797"/>
      <c r="CQ195" s="797"/>
      <c r="CR195" s="797"/>
      <c r="CS195" s="797"/>
      <c r="CT195" s="797"/>
      <c r="CU195" s="797"/>
    </row>
    <row r="196" spans="1:99" x14ac:dyDescent="0.25">
      <c r="A196" s="163">
        <f>((A191+A190+A189+A188)/4-A191-A186)*-1</f>
        <v>200.0921933566301</v>
      </c>
      <c r="B196" s="154">
        <f>(B191+C191)/2</f>
        <v>210.32904333904736</v>
      </c>
      <c r="C196" s="154">
        <f>(E198+A187)</f>
        <v>-1.1585199177626748</v>
      </c>
      <c r="D196" s="163">
        <f>(A198+D197+A190+D197)/2</f>
        <v>369.61962518196106</v>
      </c>
      <c r="E196" s="163">
        <f>(A191+D197+A190)/3</f>
        <v>195.57363059777359</v>
      </c>
      <c r="F196" s="191">
        <f>(O196+P195)/2</f>
        <v>1022.4832435700999</v>
      </c>
      <c r="G196" s="149"/>
      <c r="H196" s="191">
        <f>(O196+P195+N195)/3</f>
        <v>1016.2641949318034</v>
      </c>
      <c r="I196" s="191"/>
      <c r="J196" s="191"/>
      <c r="K196" s="191"/>
      <c r="L196" s="191"/>
      <c r="M196" s="191"/>
      <c r="N196" s="207">
        <f>((A196+A190)/2)*Q200/Q192</f>
        <v>1003.1485300722856</v>
      </c>
      <c r="O196" s="212">
        <f>((A197+A188)/2)*Q200/Q192</f>
        <v>1055.8723628606081</v>
      </c>
      <c r="P196" s="213">
        <f>B187*Q200/Q192</f>
        <v>967.77167180543267</v>
      </c>
      <c r="Q196" s="162">
        <f>A187+E198</f>
        <v>-1.1585199177626748</v>
      </c>
      <c r="R196" s="152"/>
      <c r="S196" s="151"/>
      <c r="T196" s="163">
        <f>((T191+T190+T189+T188)/4-T191-T186)*-1</f>
        <v>205.5045043654427</v>
      </c>
      <c r="U196" s="154">
        <f>(U191+V191)/2</f>
        <v>217.97567241519022</v>
      </c>
      <c r="V196" s="154">
        <f>(X198+T187)</f>
        <v>-1.2532736671020928</v>
      </c>
      <c r="W196" s="163">
        <f>(T198+W197+T190+W197)/2</f>
        <v>379.88631145262735</v>
      </c>
      <c r="X196" s="163">
        <f>(T191+W197+T190)/3</f>
        <v>201.45771539230711</v>
      </c>
      <c r="Y196" s="191">
        <f>(AH196+AI195)/2</f>
        <v>1027.1448803524436</v>
      </c>
      <c r="Z196" s="149"/>
      <c r="AA196" s="191">
        <f>(AH196+AI195+AG195)/3</f>
        <v>1020.6355754593145</v>
      </c>
      <c r="AB196" s="191"/>
      <c r="AC196" s="191"/>
      <c r="AD196" s="191"/>
      <c r="AE196" s="191"/>
      <c r="AF196" s="191"/>
      <c r="AG196" s="207">
        <f>((T196+T190)/2)*AJ200/AJ192</f>
        <v>1002.2431328354514</v>
      </c>
      <c r="AH196" s="212">
        <f>((T197+T188)/2)*AJ200/AJ192</f>
        <v>1061.5740474779595</v>
      </c>
      <c r="AI196" s="213">
        <f>U187*AJ200/AJ192</f>
        <v>970.39809645048513</v>
      </c>
      <c r="AJ196" s="162">
        <f>T187+X198</f>
        <v>-1.2532736671020928</v>
      </c>
      <c r="AK196" s="152"/>
      <c r="AL196" s="151"/>
      <c r="AM196" s="163">
        <f>((AM191+AM190+AM189+AM188)/4-AM191-AM186)*-1</f>
        <v>207.68739801730223</v>
      </c>
      <c r="AN196" s="154">
        <f>(AN191+AO191)/2</f>
        <v>221.04802725037672</v>
      </c>
      <c r="AO196" s="154">
        <f>(AQ198+AM187)</f>
        <v>-1.2913277004169288</v>
      </c>
      <c r="AP196" s="163">
        <f>(AM198+AP197+AM190+AP197)/2</f>
        <v>384.02582830183849</v>
      </c>
      <c r="AQ196" s="163">
        <f>(AM191+AP197+AM190)/3</f>
        <v>203.8282532902804</v>
      </c>
      <c r="AR196" s="191">
        <f>(BA196+BB195)/2</f>
        <v>1292.7933838465399</v>
      </c>
      <c r="AS196" s="149"/>
      <c r="AT196" s="191">
        <f>(BA196+BB195+AZ195)/3</f>
        <v>1284.4750152242223</v>
      </c>
      <c r="AU196" s="191"/>
      <c r="AV196" s="191"/>
      <c r="AW196" s="191"/>
      <c r="AX196" s="191"/>
      <c r="AY196" s="191"/>
      <c r="AZ196" s="207">
        <f>((AM196+AM190)/2)*BC200/BC192</f>
        <v>1258.8557154956222</v>
      </c>
      <c r="BA196" s="212">
        <f>((AM197+AM188)/2)*BC200/BC192</f>
        <v>1336.5560667922211</v>
      </c>
      <c r="BB196" s="213">
        <f>AN187*BC200/BC192</f>
        <v>1220.5105799100554</v>
      </c>
      <c r="BC196" s="162">
        <f>AM187+AQ198</f>
        <v>-1.2913277004169288</v>
      </c>
      <c r="BD196" s="152"/>
      <c r="BE196" s="151"/>
      <c r="BF196" s="163">
        <f>((BF191+BF190+BF189+BF188)/4-BF191-BF186)*-1</f>
        <v>206.23726345959076</v>
      </c>
      <c r="BG196" s="154">
        <f>(BG191+BH191)/2</f>
        <v>219.38221259042024</v>
      </c>
      <c r="BH196" s="154">
        <f>(BJ198+BF187)</f>
        <v>-1.2703623233466885</v>
      </c>
      <c r="BI196" s="163">
        <f>(BF198+BI197+BF190+BI197)/2</f>
        <v>381.31433264239672</v>
      </c>
      <c r="BJ196" s="163">
        <f>(BF191+BI197+BF190)/3</f>
        <v>202.33421459888223</v>
      </c>
      <c r="BK196" s="191">
        <f>(BT196+BU195)/2</f>
        <v>1292.4918515284623</v>
      </c>
      <c r="BL196" s="149"/>
      <c r="BM196" s="191">
        <f>(BT196+BU195+BS195)/3</f>
        <v>1284.2442756951968</v>
      </c>
      <c r="BN196" s="191"/>
      <c r="BO196" s="191"/>
      <c r="BP196" s="191"/>
      <c r="BQ196" s="191"/>
      <c r="BR196" s="191"/>
      <c r="BS196" s="207">
        <f>((BF196+BF190)/2)*BV200/BV192</f>
        <v>1258.8378455291188</v>
      </c>
      <c r="BT196" s="212">
        <f>((BF197+BF188)/2)*BV200/BV192</f>
        <v>1335.8815222900521</v>
      </c>
      <c r="BU196" s="213">
        <f>BG187*BV200/BV192</f>
        <v>1220.8247779099624</v>
      </c>
      <c r="BV196" s="162">
        <f>BF187+BJ198</f>
        <v>-1.2703623233466885</v>
      </c>
      <c r="BW196" s="152"/>
      <c r="BX196" s="151"/>
      <c r="BY196" s="797"/>
      <c r="BZ196" s="797"/>
      <c r="CA196" s="797"/>
      <c r="CB196" s="797"/>
      <c r="CC196" s="797"/>
      <c r="CD196" s="797"/>
      <c r="CE196" s="797"/>
      <c r="CF196" s="797"/>
      <c r="CG196" s="797"/>
      <c r="CH196" s="797"/>
      <c r="CI196" s="797"/>
      <c r="CJ196" s="797"/>
      <c r="CK196" s="797"/>
      <c r="CL196" s="797"/>
      <c r="CM196" s="797"/>
      <c r="CN196" s="797"/>
      <c r="CO196" s="797"/>
      <c r="CP196" s="797"/>
      <c r="CQ196" s="797"/>
      <c r="CR196" s="797"/>
      <c r="CS196" s="797"/>
      <c r="CT196" s="797"/>
      <c r="CU196" s="797"/>
    </row>
    <row r="197" spans="1:99" x14ac:dyDescent="0.25">
      <c r="A197" s="163">
        <f>((A191+A190+A189+A188)/4-A191-A186*-1)</f>
        <v>234.72123803787849</v>
      </c>
      <c r="B197" s="154">
        <f>B188/2</f>
        <v>107.48156150504897</v>
      </c>
      <c r="C197" s="154">
        <f>(B187+C191)/2</f>
        <v>209.17052342128471</v>
      </c>
      <c r="D197" s="163">
        <f>(A196+A195+B197)/3</f>
        <v>151.90746039881219</v>
      </c>
      <c r="E197" s="163">
        <f>(A191+A190+B197)/3</f>
        <v>180.76499763318586</v>
      </c>
      <c r="F197" s="149">
        <f>E194+(C201*-1)-E194-E198</f>
        <v>5.8675118320105026</v>
      </c>
      <c r="G197" s="149"/>
      <c r="H197" s="191">
        <f>(P197+N197)/2</f>
        <v>349.09864845808863</v>
      </c>
      <c r="I197" s="149"/>
      <c r="J197" s="149"/>
      <c r="K197" s="149"/>
      <c r="L197" s="149"/>
      <c r="M197" s="149"/>
      <c r="N197" s="207">
        <f>((N196+N195)/2/Q191)</f>
        <v>0.98443164894739799</v>
      </c>
      <c r="O197" s="212">
        <f>((A189+D195)/2)*Q200/Q192</f>
        <v>957.11044556835316</v>
      </c>
      <c r="P197" s="213">
        <f>((B197+E196)/2)*Q200/Q192</f>
        <v>697.21286526722986</v>
      </c>
      <c r="Q197" s="162">
        <f>(Q196*Q194/10)</f>
        <v>6.1897019443661359</v>
      </c>
      <c r="R197" s="152">
        <f>(R196+R195+F201)/3</f>
        <v>868.97855518391395</v>
      </c>
      <c r="S197" s="151"/>
      <c r="T197" s="163">
        <f>((T191+T190+T189+T188)/4-T191-T186*-1)</f>
        <v>243.89718440905796</v>
      </c>
      <c r="U197" s="154">
        <f>U188/2</f>
        <v>111.49438354179929</v>
      </c>
      <c r="V197" s="154">
        <f>(U187+V191)/2</f>
        <v>216.72239874808812</v>
      </c>
      <c r="W197" s="163">
        <f>(T196+T195+U197)/3</f>
        <v>154.97145740242061</v>
      </c>
      <c r="X197" s="163">
        <f>(T191+T190+U197)/3</f>
        <v>186.96535743876666</v>
      </c>
      <c r="Y197" s="149">
        <f>X194+(V201*-1)-X194-X198</f>
        <v>3.965459167283095</v>
      </c>
      <c r="Z197" s="149"/>
      <c r="AA197" s="191">
        <f>(AI197+AG197)/2</f>
        <v>348.79798630304316</v>
      </c>
      <c r="AB197" s="149"/>
      <c r="AC197" s="149"/>
      <c r="AD197" s="149"/>
      <c r="AE197" s="149"/>
      <c r="AF197" s="149"/>
      <c r="AG197" s="207">
        <f>((AG196+AG195)/2/AJ191)</f>
        <v>0.98584698759677458</v>
      </c>
      <c r="AH197" s="212">
        <f>((T189+W195)/2)*AJ200/AJ192</f>
        <v>959.239288062264</v>
      </c>
      <c r="AI197" s="213">
        <f>((U197+X196)/2)*AJ200/AJ192</f>
        <v>696.61012561848952</v>
      </c>
      <c r="AJ197" s="162">
        <f>(AJ196*AJ194/10)</f>
        <v>4.9139237039889601</v>
      </c>
      <c r="AK197" s="152">
        <f>(AK196+AK195+Y201)/3</f>
        <v>850.22338492371728</v>
      </c>
      <c r="AL197" s="151"/>
      <c r="AM197" s="163">
        <f>((AM191+AM190+AM189+AM188)/4-AM191-AM186*-1)</f>
        <v>247.58634898269142</v>
      </c>
      <c r="AN197" s="154">
        <f>AN188/2</f>
        <v>113.1066690260222</v>
      </c>
      <c r="AO197" s="154">
        <f>(AN187+AO191)/2</f>
        <v>219.75669954995979</v>
      </c>
      <c r="AP197" s="163">
        <f>(AM196+AM195+AN197)/3</f>
        <v>156.21101287084761</v>
      </c>
      <c r="AQ197" s="163">
        <f>(AM191+AM190+AN197)/3</f>
        <v>189.46013867533861</v>
      </c>
      <c r="AR197" s="149">
        <f>AQ194+(AO201*-1)-AQ194-AQ198</f>
        <v>3.3878499971080593</v>
      </c>
      <c r="AS197" s="149"/>
      <c r="AT197" s="191">
        <f>(BB197+AZ197)/2</f>
        <v>437.98586526321208</v>
      </c>
      <c r="AU197" s="149"/>
      <c r="AV197" s="149"/>
      <c r="AW197" s="149"/>
      <c r="AX197" s="149"/>
      <c r="AY197" s="149"/>
      <c r="AZ197" s="207">
        <f>((AZ196+AZ195)/2/BC191)</f>
        <v>0.99801861025140814</v>
      </c>
      <c r="BA197" s="212">
        <f>((AM189+AP195)/2)*BC200/BC192</f>
        <v>1206.2505194146538</v>
      </c>
      <c r="BB197" s="213">
        <f>((AN197+AQ196)/2)*BC200/BC192</f>
        <v>874.97371191617276</v>
      </c>
      <c r="BC197" s="162">
        <f>(BC196*BC194/10)</f>
        <v>3.6296779736869418</v>
      </c>
      <c r="BD197" s="152">
        <f>(BD196+BD195+AR201)/3</f>
        <v>1241.3116385688559</v>
      </c>
      <c r="BE197" s="151"/>
      <c r="BF197" s="163">
        <f>((BF191+BF190+BF189+BF188)/4-BF191-BF186*-1)</f>
        <v>245.48925864046427</v>
      </c>
      <c r="BG197" s="154">
        <f>BG188/2</f>
        <v>112.2318309419035</v>
      </c>
      <c r="BH197" s="154">
        <f>(BG187+BH191)/2</f>
        <v>218.11185026707355</v>
      </c>
      <c r="BI197" s="163">
        <f>(BF196+BF195+BG197)/3</f>
        <v>155.27612169659162</v>
      </c>
      <c r="BJ197" s="163">
        <f>(BF191+BF190+BG197)/3</f>
        <v>187.98611768065282</v>
      </c>
      <c r="BK197" s="149">
        <f>BJ194+(BH201*-1)-BJ194-BJ198</f>
        <v>3.128770062991034</v>
      </c>
      <c r="BL197" s="149"/>
      <c r="BM197" s="191">
        <f>(BU197+BS197)/2</f>
        <v>438.12565141383158</v>
      </c>
      <c r="BN197" s="149"/>
      <c r="BO197" s="149"/>
      <c r="BP197" s="149"/>
      <c r="BQ197" s="149"/>
      <c r="BR197" s="149"/>
      <c r="BS197" s="207">
        <f>((BS196+BS195)/2/BV191)</f>
        <v>0.99797633688486387</v>
      </c>
      <c r="BT197" s="212">
        <f>((BF189+BI195)/2)*BV200/BV192</f>
        <v>1206.6860764815074</v>
      </c>
      <c r="BU197" s="213">
        <f>((BG197+BJ196)/2)*BV200/BV192</f>
        <v>875.25332649077825</v>
      </c>
      <c r="BV197" s="162">
        <f>(BV196*BV194/10)</f>
        <v>2.8455237828128164</v>
      </c>
      <c r="BW197" s="152">
        <f>(BW196+BW195+BK201)/3</f>
        <v>1248.3822867797858</v>
      </c>
      <c r="BX197" s="151"/>
      <c r="BY197" s="797"/>
      <c r="BZ197" s="797"/>
      <c r="CA197" s="797"/>
      <c r="CB197" s="797"/>
      <c r="CC197" s="797"/>
      <c r="CD197" s="797"/>
      <c r="CE197" s="797"/>
      <c r="CF197" s="797"/>
      <c r="CG197" s="797"/>
      <c r="CH197" s="797"/>
      <c r="CI197" s="797"/>
      <c r="CJ197" s="797"/>
      <c r="CK197" s="797"/>
      <c r="CL197" s="797"/>
      <c r="CM197" s="797"/>
      <c r="CN197" s="797"/>
      <c r="CO197" s="797"/>
      <c r="CP197" s="797"/>
      <c r="CQ197" s="797"/>
      <c r="CR197" s="797"/>
      <c r="CS197" s="797"/>
      <c r="CT197" s="797"/>
      <c r="CU197" s="797"/>
    </row>
    <row r="198" spans="1:99" x14ac:dyDescent="0.25">
      <c r="A198" s="163">
        <f>(A191+A196)/2</f>
        <v>199.48129518484103</v>
      </c>
      <c r="B198" s="154">
        <f>(A188+B190)/2</f>
        <v>221.91424251667382</v>
      </c>
      <c r="C198" s="154">
        <f>(A187*C190)</f>
        <v>7.679555283543496E-4</v>
      </c>
      <c r="D198" s="154">
        <f>(A188+B198)/2</f>
        <v>223.07276243443647</v>
      </c>
      <c r="E198" s="154">
        <f>(D198-A186)-(A186-A189)</f>
        <v>-6.045705292075354</v>
      </c>
      <c r="F198" s="191">
        <f>(N198+H198)/2</f>
        <v>1038.0635118346222</v>
      </c>
      <c r="G198" s="149"/>
      <c r="H198" s="314">
        <f>A197*Q200/Q192</f>
        <v>1080.005696493306</v>
      </c>
      <c r="I198" s="149"/>
      <c r="J198" s="149"/>
      <c r="K198" s="149"/>
      <c r="L198" s="149"/>
      <c r="M198" s="149"/>
      <c r="N198" s="207">
        <f>(N196+P195)/2</f>
        <v>996.12132717593863</v>
      </c>
      <c r="O198" s="212">
        <f>((E195+A195)/2)*Q200/Q192</f>
        <v>1343.9812593700406</v>
      </c>
      <c r="P198" s="213">
        <f>((E196+E198/10)/2)*Q200/Q192</f>
        <v>448.5484510779894</v>
      </c>
      <c r="Q198" s="163">
        <f>(Q197+C201)</f>
        <v>6.3678954044309872</v>
      </c>
      <c r="R198" s="152"/>
      <c r="S198" s="151"/>
      <c r="T198" s="163">
        <f>(T191+T196)/2</f>
        <v>205.07648503952976</v>
      </c>
      <c r="U198" s="154">
        <f>(T188+U190)/2</f>
        <v>230.50840908621115</v>
      </c>
      <c r="V198" s="154">
        <f>(T187*V190)</f>
        <v>1.1438355609619969E-3</v>
      </c>
      <c r="W198" s="154">
        <f>(T188+U198)/2</f>
        <v>231.76168275331324</v>
      </c>
      <c r="X198" s="154">
        <f>(W198-T186)-(T186-T189)</f>
        <v>-4.6774282744055711</v>
      </c>
      <c r="Y198" s="191">
        <f>(AG198+AA198)/2</f>
        <v>1041.638285603648</v>
      </c>
      <c r="Z198" s="149"/>
      <c r="AA198" s="314">
        <f>T197*AJ200/AJ192</f>
        <v>1085.7971481761067</v>
      </c>
      <c r="AB198" s="149"/>
      <c r="AC198" s="149"/>
      <c r="AD198" s="149"/>
      <c r="AE198" s="149"/>
      <c r="AF198" s="149"/>
      <c r="AG198" s="207">
        <f>(AG196+AI195)/2</f>
        <v>997.47942303118953</v>
      </c>
      <c r="AH198" s="212">
        <f>((X195+T195)/2)*AJ200/AJ192</f>
        <v>1331.4929587676047</v>
      </c>
      <c r="AI198" s="213">
        <f>((X196+X198/10)/2)*AJ200/AJ192</f>
        <v>447.39003353337017</v>
      </c>
      <c r="AJ198" s="163">
        <f>(AJ197+V201)</f>
        <v>5.6258928111114361</v>
      </c>
      <c r="AK198" s="152"/>
      <c r="AL198" s="151"/>
      <c r="AM198" s="163">
        <f>(AM191+AM196)/2</f>
        <v>207.33151415531412</v>
      </c>
      <c r="AN198" s="154">
        <f>(AM188+AN190)/2</f>
        <v>233.96130425454595</v>
      </c>
      <c r="AO198" s="154">
        <f>(AM187*AO190)</f>
        <v>1.3923903976353384E-3</v>
      </c>
      <c r="AP198" s="154">
        <f>(AM188+AN198)/2</f>
        <v>235.25263195496288</v>
      </c>
      <c r="AQ198" s="154">
        <f>(AP198-AM186)-(AM186-AM189)</f>
        <v>-4.138398596321764</v>
      </c>
      <c r="AR198" s="191">
        <f>(AZ198+AT198)/2</f>
        <v>1310.4921994501087</v>
      </c>
      <c r="AS198" s="149"/>
      <c r="AT198" s="314">
        <f>AM197*BC200/BC192</f>
        <v>1367.041190701977</v>
      </c>
      <c r="AU198" s="149"/>
      <c r="AV198" s="149"/>
      <c r="AW198" s="149"/>
      <c r="AX198" s="149"/>
      <c r="AY198" s="149"/>
      <c r="AZ198" s="207">
        <f>(AZ196+BB195)/2</f>
        <v>1253.9432081982404</v>
      </c>
      <c r="BA198" s="212">
        <f>((AQ195+AM195)/2)*BC200/BC192</f>
        <v>1667.0001155333421</v>
      </c>
      <c r="BB198" s="213">
        <f>((AQ196+AQ198/10)/2)*BC200/BC192</f>
        <v>561.57353401099203</v>
      </c>
      <c r="BC198" s="163">
        <f>(BC197+AO201)</f>
        <v>4.3802265729006464</v>
      </c>
      <c r="BD198" s="152"/>
      <c r="BE198" s="151"/>
      <c r="BF198" s="163">
        <f>(BF191+BF196)/2</f>
        <v>205.88736366803565</v>
      </c>
      <c r="BG198" s="154">
        <f>(BF188+BG190)/2</f>
        <v>232.08583582388712</v>
      </c>
      <c r="BH198" s="154">
        <f>(BF187*BH190)</f>
        <v>1.4639150818429023E-3</v>
      </c>
      <c r="BI198" s="154">
        <f>(BF188+BG198)/2</f>
        <v>233.35619814723381</v>
      </c>
      <c r="BJ198" s="154">
        <f>(BI198-BF186)-(BF186-BF189)</f>
        <v>-4.0695606557877113</v>
      </c>
      <c r="BK198" s="191">
        <f>(BS198+BM198)/2</f>
        <v>1310.0380356237038</v>
      </c>
      <c r="BL198" s="149"/>
      <c r="BM198" s="314">
        <f>BF197*BV200/BV192</f>
        <v>1366.1060580994117</v>
      </c>
      <c r="BN198" s="149"/>
      <c r="BO198" s="149"/>
      <c r="BP198" s="149"/>
      <c r="BQ198" s="149"/>
      <c r="BR198" s="149"/>
      <c r="BS198" s="207">
        <f>(BS196+BU195)/2</f>
        <v>1253.9700131479958</v>
      </c>
      <c r="BT198" s="212">
        <f>((BJ195+BF195)/2)*BV200/BV192</f>
        <v>1668.8525107719697</v>
      </c>
      <c r="BU198" s="213">
        <f>((BJ196+BJ198/10)/2)*BV200/BV192</f>
        <v>561.84546058236913</v>
      </c>
      <c r="BV198" s="163">
        <f>(BV197+BH201)</f>
        <v>3.7863143756094937</v>
      </c>
      <c r="BW198" s="152"/>
      <c r="BX198" s="151"/>
      <c r="BY198" s="797"/>
      <c r="BZ198" s="797"/>
      <c r="CA198" s="797"/>
      <c r="CB198" s="797"/>
      <c r="CC198" s="797"/>
      <c r="CD198" s="797"/>
      <c r="CE198" s="797"/>
      <c r="CF198" s="797"/>
      <c r="CG198" s="797"/>
      <c r="CH198" s="797"/>
      <c r="CI198" s="797"/>
      <c r="CJ198" s="797"/>
      <c r="CK198" s="797"/>
      <c r="CL198" s="797"/>
      <c r="CM198" s="797"/>
      <c r="CN198" s="797"/>
      <c r="CO198" s="797"/>
      <c r="CP198" s="797"/>
      <c r="CQ198" s="797"/>
      <c r="CR198" s="797"/>
      <c r="CS198" s="797"/>
      <c r="CT198" s="797"/>
      <c r="CU198" s="797"/>
    </row>
    <row r="199" spans="1:99" x14ac:dyDescent="0.25">
      <c r="A199" s="163">
        <f>(A187*-1)+A194</f>
        <v>-74.145274736809483</v>
      </c>
      <c r="B199" s="163">
        <f>(A200*-1)+A199</f>
        <v>-9.7743707486253584</v>
      </c>
      <c r="C199" s="163">
        <f>(B199/2)+A187</f>
        <v>0</v>
      </c>
      <c r="D199" s="154"/>
      <c r="E199" s="163">
        <f>(C199*A187)+D192</f>
        <v>8.0044882924170508</v>
      </c>
      <c r="F199" s="191">
        <f>A195*Q200/Q200</f>
        <v>148.14862633475749</v>
      </c>
      <c r="G199" s="191">
        <f>(E199+F199)</f>
        <v>156.15311462717455</v>
      </c>
      <c r="H199" s="149">
        <f>(O200+H197)/2</f>
        <v>1177.6978543013299</v>
      </c>
      <c r="I199" s="149"/>
      <c r="J199" s="149"/>
      <c r="K199" s="149"/>
      <c r="L199" s="149"/>
      <c r="M199" s="149"/>
      <c r="N199" s="421">
        <f>(O196+H196+O196)/3</f>
        <v>1042.6696402176733</v>
      </c>
      <c r="O199" s="212">
        <f>((B190+E198)/2)*Q200/Q192</f>
        <v>491.29945718345061</v>
      </c>
      <c r="P199" s="213">
        <f>D195*Q200/Q192</f>
        <v>967.77167180543267</v>
      </c>
      <c r="Q199" s="164">
        <f>((Q198*Q197*C201*-1)*Q200*Q189*Q190)*0.51</f>
        <v>28.706819988182929</v>
      </c>
      <c r="R199" s="152"/>
      <c r="S199" s="151"/>
      <c r="T199" s="163">
        <f>(T187*-1)+T194</f>
        <v>-80.209514694533937</v>
      </c>
      <c r="U199" s="163">
        <f>(T200*-1)+T199</f>
        <v>-6.8483092146069566</v>
      </c>
      <c r="V199" s="163">
        <f>(U199/2)+T187</f>
        <v>0</v>
      </c>
      <c r="W199" s="154"/>
      <c r="X199" s="163">
        <f>(V199*T187)+W192</f>
        <v>7.7277909057417844</v>
      </c>
      <c r="Y199" s="191">
        <f>T195*AJ200/AJ200</f>
        <v>147.91548430001987</v>
      </c>
      <c r="Z199" s="191">
        <f>(X199+Y199)</f>
        <v>155.64327520576165</v>
      </c>
      <c r="AA199" s="149">
        <f>(AH200+AA197)/2</f>
        <v>1176.642125986973</v>
      </c>
      <c r="AB199" s="149"/>
      <c r="AC199" s="149"/>
      <c r="AD199" s="149"/>
      <c r="AE199" s="149"/>
      <c r="AF199" s="149"/>
      <c r="AG199" s="421">
        <f>(AH196+AA196+AH196)/3</f>
        <v>1047.9278901384112</v>
      </c>
      <c r="AH199" s="212">
        <f>((U190+X198)/2)*AJ200/AJ192</f>
        <v>497.10502721781057</v>
      </c>
      <c r="AI199" s="213">
        <f>W195*AJ200/AJ192</f>
        <v>970.39809645048513</v>
      </c>
      <c r="AJ199" s="164">
        <f>((AJ198*AJ197*V201*-1)*AJ200*AJ189*AJ190)*0.51</f>
        <v>31.486447948225752</v>
      </c>
      <c r="AK199" s="152"/>
      <c r="AL199" s="151"/>
      <c r="AM199" s="163">
        <f>(AM187*-1)+AM194</f>
        <v>-82.644972826683215</v>
      </c>
      <c r="AN199" s="163">
        <f>(AM200*-1)+AM199</f>
        <v>-5.6941417918096704</v>
      </c>
      <c r="AO199" s="163">
        <f>(AN199/2)+AM187</f>
        <v>0</v>
      </c>
      <c r="AP199" s="154"/>
      <c r="AQ199" s="163">
        <f>(AO199*AM187)+AP192</f>
        <v>7.621908409953658</v>
      </c>
      <c r="AR199" s="191">
        <f>AM195*BC200/BC200</f>
        <v>147.83897156921844</v>
      </c>
      <c r="AS199" s="191">
        <f>(AQ199+AR199)</f>
        <v>155.46087997917209</v>
      </c>
      <c r="AT199" s="149">
        <f>(BA200+AT197)/2</f>
        <v>1477.8486481272282</v>
      </c>
      <c r="AU199" s="149"/>
      <c r="AV199" s="149"/>
      <c r="AW199" s="149"/>
      <c r="AX199" s="149"/>
      <c r="AY199" s="149"/>
      <c r="AZ199" s="421">
        <f>(BA196+AT196+BA196)/3</f>
        <v>1319.1957162695546</v>
      </c>
      <c r="BA199" s="212">
        <f>((AN190+AQ198)/2)*BC200/BC192</f>
        <v>627.35038414616963</v>
      </c>
      <c r="BB199" s="213">
        <f>AP195*BC200/BC192</f>
        <v>1220.5105799100554</v>
      </c>
      <c r="BC199" s="164">
        <f>((BC198*BC197*AO201*-1)*BC200*BC189*BC190)*0.51</f>
        <v>30.790575070335404</v>
      </c>
      <c r="BD199" s="152"/>
      <c r="BE199" s="151"/>
      <c r="BF199" s="163">
        <f>(BF187*-1)+BF194</f>
        <v>-81.303188694187952</v>
      </c>
      <c r="BG199" s="163">
        <f>(BF200*-1)+BF199</f>
        <v>-5.5983966648820456</v>
      </c>
      <c r="BH199" s="163">
        <f>(BG199/2)+BF187</f>
        <v>0</v>
      </c>
      <c r="BI199" s="154"/>
      <c r="BJ199" s="163">
        <f>(BH199*BF187)+BI192</f>
        <v>7.497338318284605</v>
      </c>
      <c r="BK199" s="191">
        <f>BF195*BV200/BV200</f>
        <v>147.35927068828059</v>
      </c>
      <c r="BL199" s="191">
        <f>(BJ199+BK199)</f>
        <v>154.85660900656518</v>
      </c>
      <c r="BM199" s="149">
        <f>(BT200+BM197)/2</f>
        <v>1477.9006712360347</v>
      </c>
      <c r="BN199" s="149"/>
      <c r="BO199" s="149"/>
      <c r="BP199" s="149"/>
      <c r="BQ199" s="149"/>
      <c r="BR199" s="149"/>
      <c r="BS199" s="421">
        <f>(BT196+BM196+BT196)/3</f>
        <v>1318.6691067584336</v>
      </c>
      <c r="BT199" s="212">
        <f>((BG190+BJ198)/2)*BV200/BV192</f>
        <v>627.36658464498066</v>
      </c>
      <c r="BU199" s="213">
        <f>BI195*BV200/BV192</f>
        <v>1220.8247779099624</v>
      </c>
      <c r="BV199" s="164">
        <f>((BV198*BV197*BH201*-1)*BV200*BV189*BV190)*0.51</f>
        <v>11.579149128469682</v>
      </c>
      <c r="BW199" s="152"/>
      <c r="BX199" s="151"/>
      <c r="BY199" s="797"/>
      <c r="BZ199" s="797"/>
      <c r="CA199" s="797"/>
      <c r="CB199" s="797"/>
      <c r="CC199" s="797"/>
      <c r="CD199" s="797"/>
      <c r="CE199" s="797"/>
      <c r="CF199" s="797"/>
      <c r="CG199" s="797"/>
      <c r="CH199" s="797"/>
      <c r="CI199" s="797"/>
      <c r="CJ199" s="797"/>
      <c r="CK199" s="797"/>
      <c r="CL199" s="797"/>
      <c r="CM199" s="797"/>
      <c r="CN199" s="797"/>
      <c r="CO199" s="797"/>
      <c r="CP199" s="797"/>
      <c r="CQ199" s="797"/>
      <c r="CR199" s="797"/>
      <c r="CS199" s="797"/>
      <c r="CT199" s="797"/>
      <c r="CU199" s="797"/>
    </row>
    <row r="200" spans="1:99" x14ac:dyDescent="0.25">
      <c r="A200" s="163">
        <f>A187+A194</f>
        <v>-64.370903988184125</v>
      </c>
      <c r="B200" s="163">
        <f>(A201+(A199*-1)+A200)</f>
        <v>-128.74180797636825</v>
      </c>
      <c r="C200" s="154">
        <f>(B200/10)</f>
        <v>-12.874180797636825</v>
      </c>
      <c r="D200" s="154"/>
      <c r="E200" s="154">
        <f>((D196+B197)/2)*Q200</f>
        <v>357.82589001525753</v>
      </c>
      <c r="F200" s="149">
        <f>((E195+B197)/2)*Q200/Q192</f>
        <v>1250.4220611421833</v>
      </c>
      <c r="G200" s="149"/>
      <c r="H200" s="149">
        <f>(Q201/2)</f>
        <v>163.05503677294072</v>
      </c>
      <c r="I200" s="149"/>
      <c r="J200" s="149"/>
      <c r="K200" s="149"/>
      <c r="L200" s="149"/>
      <c r="M200" s="149"/>
      <c r="N200" s="191">
        <f>(Q201/2)/Q192</f>
        <v>500.16882445687338</v>
      </c>
      <c r="O200" s="423">
        <f>E195*Q200/Q192</f>
        <v>2006.2970601445711</v>
      </c>
      <c r="P200" s="213">
        <f>((B187+A190)/2)*Q200/Q192</f>
        <v>1026.699565307908</v>
      </c>
      <c r="Q200" s="322">
        <f>ROUND(O193,N201)</f>
        <v>1.5</v>
      </c>
      <c r="R200" s="247">
        <f>(P195+P197)/2</f>
        <v>843.15349477341078</v>
      </c>
      <c r="S200" s="151"/>
      <c r="T200" s="163">
        <f>T187+T194</f>
        <v>-73.36120547992698</v>
      </c>
      <c r="U200" s="163">
        <f>(T201+(T199*-1)+T200)</f>
        <v>-146.72241095985396</v>
      </c>
      <c r="V200" s="154">
        <f>(U200/10)</f>
        <v>-14.672241095985395</v>
      </c>
      <c r="W200" s="154"/>
      <c r="X200" s="154">
        <f>((W196+U197)/2)*AJ200</f>
        <v>196.55227799777069</v>
      </c>
      <c r="Y200" s="149">
        <f>((X195+U197)/2)*AJ200/AJ192</f>
        <v>1250.4220611421831</v>
      </c>
      <c r="Z200" s="149"/>
      <c r="AA200" s="149">
        <f>(AJ201/2)</f>
        <v>89.88033775490014</v>
      </c>
      <c r="AB200" s="149"/>
      <c r="AC200" s="149"/>
      <c r="AD200" s="149"/>
      <c r="AE200" s="149"/>
      <c r="AF200" s="149"/>
      <c r="AG200" s="191">
        <f>(AJ201/2)/AJ192</f>
        <v>500.16882445687332</v>
      </c>
      <c r="AH200" s="423">
        <f>X195*AJ200/AJ192</f>
        <v>2004.4862656709029</v>
      </c>
      <c r="AI200" s="213">
        <f>((U187+T190)/2)*AJ200/AJ192</f>
        <v>1030.0031062350006</v>
      </c>
      <c r="AJ200" s="322">
        <f>ROUND(AH193,AG201)</f>
        <v>0.8</v>
      </c>
      <c r="AK200" s="247">
        <f>(AI195+AI197)/2</f>
        <v>844.66291942270846</v>
      </c>
      <c r="AL200" s="151"/>
      <c r="AM200" s="163">
        <f>AM187+AM194</f>
        <v>-76.950831034873545</v>
      </c>
      <c r="AN200" s="163">
        <f>(AM201+(AM199*-1)+AM200)</f>
        <v>-153.90166206974709</v>
      </c>
      <c r="AO200" s="154">
        <f>(AN200/10)</f>
        <v>-15.390166206974708</v>
      </c>
      <c r="AP200" s="154"/>
      <c r="AQ200" s="154">
        <f>((AP196+AN197)/2)*BC200</f>
        <v>447.41924759507464</v>
      </c>
      <c r="AR200" s="149">
        <f>((AQ195+AN197)/2)*BC200/BC192</f>
        <v>1571.1133907208368</v>
      </c>
      <c r="AS200" s="149"/>
      <c r="AT200" s="149">
        <f>(BC201/2)</f>
        <v>204.87318614999714</v>
      </c>
      <c r="AU200" s="149"/>
      <c r="AV200" s="149"/>
      <c r="AW200" s="149"/>
      <c r="AX200" s="149"/>
      <c r="AY200" s="149"/>
      <c r="AZ200" s="191">
        <f>(BC201/2)/BC192</f>
        <v>628.44535628833478</v>
      </c>
      <c r="BA200" s="423">
        <f>AQ195*BC200/BC192</f>
        <v>2517.7114309912445</v>
      </c>
      <c r="BB200" s="213">
        <f>((AN187+AM190)/2)*BC200/BC192</f>
        <v>1295.7408882249688</v>
      </c>
      <c r="BC200" s="322">
        <f>ROUND(BA193,AZ201)</f>
        <v>1.8</v>
      </c>
      <c r="BD200" s="247">
        <f>(BB195+BB197)/2</f>
        <v>1062.0022064085156</v>
      </c>
      <c r="BE200" s="151"/>
      <c r="BF200" s="163">
        <f>BF187+BF194</f>
        <v>-75.704792029305906</v>
      </c>
      <c r="BG200" s="163">
        <f>(BF201+(BF199*-1)+BF200)</f>
        <v>-151.40958405861181</v>
      </c>
      <c r="BH200" s="154">
        <f>(BG200/10)</f>
        <v>-15.140958405861181</v>
      </c>
      <c r="BI200" s="154"/>
      <c r="BJ200" s="154">
        <f>((BI196+BG197)/2)*BV200</f>
        <v>246.77308179215009</v>
      </c>
      <c r="BK200" s="149">
        <f>((BJ195+BG197)/2)*BV200/BV192</f>
        <v>1571.1133907208368</v>
      </c>
      <c r="BL200" s="149"/>
      <c r="BM200" s="149">
        <f>(BV201/2)</f>
        <v>112.93163052501376</v>
      </c>
      <c r="BN200" s="149"/>
      <c r="BO200" s="149"/>
      <c r="BP200" s="149"/>
      <c r="BQ200" s="149"/>
      <c r="BR200" s="149"/>
      <c r="BS200" s="191">
        <f>(BV201/2)/BV192</f>
        <v>628.44535628833478</v>
      </c>
      <c r="BT200" s="423">
        <f>BJ195*BV200/BV192</f>
        <v>2517.6756910582376</v>
      </c>
      <c r="BU200" s="213">
        <f>((BG187+BF190)/2)*BV200/BV192</f>
        <v>1295.4125509571361</v>
      </c>
      <c r="BV200" s="322">
        <f>ROUND(BT193,BS201)</f>
        <v>1</v>
      </c>
      <c r="BW200" s="247">
        <f>(BU195+BU197)/2</f>
        <v>1062.1777536288255</v>
      </c>
      <c r="BX200" s="151"/>
      <c r="BY200" s="797"/>
      <c r="BZ200" s="797"/>
      <c r="CA200" s="797"/>
      <c r="CB200" s="797"/>
      <c r="CC200" s="797"/>
      <c r="CD200" s="797"/>
      <c r="CE200" s="797"/>
      <c r="CF200" s="797"/>
      <c r="CG200" s="797"/>
      <c r="CH200" s="797"/>
      <c r="CI200" s="797"/>
      <c r="CJ200" s="797"/>
      <c r="CK200" s="797"/>
      <c r="CL200" s="797"/>
      <c r="CM200" s="797"/>
      <c r="CN200" s="797"/>
      <c r="CO200" s="797"/>
      <c r="CP200" s="797"/>
      <c r="CQ200" s="797"/>
      <c r="CR200" s="797"/>
      <c r="CS200" s="797"/>
      <c r="CT200" s="797"/>
      <c r="CU200" s="797"/>
    </row>
    <row r="201" spans="1:99" x14ac:dyDescent="0.25">
      <c r="A201" s="191">
        <f>(A199+A200)</f>
        <v>-138.51617872499361</v>
      </c>
      <c r="B201" s="149"/>
      <c r="C201" s="162">
        <f>INT(C194)-C194+N201</f>
        <v>0.17819346006485137</v>
      </c>
      <c r="D201" s="149"/>
      <c r="E201" s="191" t="s">
        <v>53</v>
      </c>
      <c r="F201" s="149">
        <f>((O201+B197+E195)/3)*Q200/Q192</f>
        <v>2606.9356655517417</v>
      </c>
      <c r="G201" s="149"/>
      <c r="H201" s="149">
        <f>ROUND(H200,2)</f>
        <v>163.06</v>
      </c>
      <c r="I201" s="149"/>
      <c r="J201" s="149"/>
      <c r="K201" s="149"/>
      <c r="L201" s="149"/>
      <c r="M201" s="149"/>
      <c r="N201" s="149">
        <v>1</v>
      </c>
      <c r="O201" s="426">
        <f>((B187+B197+E195)/3)*Q200/Q192</f>
        <v>1156.2052646965999</v>
      </c>
      <c r="P201" s="427">
        <f>(Q201/Q200)</f>
        <v>217.4067156972543</v>
      </c>
      <c r="Q201" s="152">
        <f>P187*Q192</f>
        <v>326.11007354588145</v>
      </c>
      <c r="R201" s="247">
        <f>(F196+P197)/2</f>
        <v>859.8480544186649</v>
      </c>
      <c r="S201" s="151"/>
      <c r="T201" s="191">
        <f>(T199+T200)</f>
        <v>-153.57072017446092</v>
      </c>
      <c r="U201" s="149"/>
      <c r="V201" s="162">
        <f>INT(V194)-V194+AG201</f>
        <v>0.71196910712247607</v>
      </c>
      <c r="W201" s="149"/>
      <c r="X201" s="191" t="s">
        <v>53</v>
      </c>
      <c r="Y201" s="149">
        <f>((AH201+U197+X195)/3)*AJ200/AJ192</f>
        <v>2550.6701547711518</v>
      </c>
      <c r="Z201" s="149"/>
      <c r="AA201" s="149">
        <f>ROUND(AA200,2)</f>
        <v>89.88</v>
      </c>
      <c r="AB201" s="149"/>
      <c r="AC201" s="149"/>
      <c r="AD201" s="149"/>
      <c r="AE201" s="149"/>
      <c r="AF201" s="149"/>
      <c r="AG201" s="149">
        <v>1</v>
      </c>
      <c r="AH201" s="426">
        <f>((U187+U197+X195)/3)*AJ200/AJ192</f>
        <v>1157.080739578284</v>
      </c>
      <c r="AI201" s="427">
        <f>(AJ201/AJ200)</f>
        <v>224.70084438725033</v>
      </c>
      <c r="AJ201" s="152">
        <f>AI187*AJ192</f>
        <v>179.76067550980028</v>
      </c>
      <c r="AK201" s="247">
        <f>(Y196+AI197)/2</f>
        <v>861.87750298546655</v>
      </c>
      <c r="AL201" s="151"/>
      <c r="AM201" s="191">
        <f>(AM199+AM200)</f>
        <v>-159.59580386155676</v>
      </c>
      <c r="AN201" s="149"/>
      <c r="AO201" s="162">
        <f>INT(AO194)-AO194+AZ201</f>
        <v>0.75054859921370465</v>
      </c>
      <c r="AP201" s="149"/>
      <c r="AQ201" s="191" t="s">
        <v>53</v>
      </c>
      <c r="AR201" s="149">
        <f>((BA201+AN197+AQ195)/3)*BC200/BC192</f>
        <v>3723.9349157065676</v>
      </c>
      <c r="AS201" s="149"/>
      <c r="AT201" s="149">
        <f>ROUND(AT200,2)</f>
        <v>204.87</v>
      </c>
      <c r="AU201" s="149"/>
      <c r="AV201" s="149"/>
      <c r="AW201" s="149"/>
      <c r="AX201" s="149"/>
      <c r="AY201" s="149"/>
      <c r="AZ201" s="149">
        <v>1</v>
      </c>
      <c r="BA201" s="426">
        <f>((AN187+AN197+AQ195)/3)*BC200/BC192</f>
        <v>1454.245787117243</v>
      </c>
      <c r="BB201" s="427">
        <f>(BC201/BC200)</f>
        <v>227.63687349999682</v>
      </c>
      <c r="BC201" s="152">
        <f>BB187*BC192</f>
        <v>409.74637229999428</v>
      </c>
      <c r="BD201" s="247">
        <f>(AR196+BB197)/2</f>
        <v>1083.8835478813562</v>
      </c>
      <c r="BE201" s="151"/>
      <c r="BF201" s="191">
        <f>(BF199+BF200)</f>
        <v>-157.00798072349386</v>
      </c>
      <c r="BG201" s="149"/>
      <c r="BH201" s="162">
        <f>INT(BH194)-BH194+BS201</f>
        <v>0.94079059279667732</v>
      </c>
      <c r="BI201" s="149"/>
      <c r="BJ201" s="191" t="s">
        <v>53</v>
      </c>
      <c r="BK201" s="149">
        <f>((BT201+BG197+BJ195)/3)*BV200/BV192</f>
        <v>3745.1468603393573</v>
      </c>
      <c r="BL201" s="149"/>
      <c r="BM201" s="149">
        <f>ROUND(BM200,2)</f>
        <v>112.93</v>
      </c>
      <c r="BN201" s="149"/>
      <c r="BO201" s="149"/>
      <c r="BP201" s="149"/>
      <c r="BQ201" s="149"/>
      <c r="BR201" s="149"/>
      <c r="BS201" s="149">
        <v>1</v>
      </c>
      <c r="BT201" s="426">
        <f>((BG187+BG197+BJ195)/3)*BV200/BV192</f>
        <v>1454.3505197838788</v>
      </c>
      <c r="BU201" s="427">
        <f>(BV201/BV200)</f>
        <v>225.86326105002752</v>
      </c>
      <c r="BV201" s="152">
        <f>BU187*BV192</f>
        <v>225.86326105002752</v>
      </c>
      <c r="BW201" s="247">
        <f>(BK196+BU197)/2</f>
        <v>1083.8725890096202</v>
      </c>
      <c r="BX201" s="151"/>
      <c r="BY201" s="797"/>
      <c r="BZ201" s="797"/>
      <c r="CA201" s="797"/>
      <c r="CB201" s="797"/>
      <c r="CC201" s="797"/>
      <c r="CD201" s="797"/>
      <c r="CE201" s="797"/>
      <c r="CF201" s="797"/>
      <c r="CG201" s="797"/>
      <c r="CH201" s="797"/>
      <c r="CI201" s="797"/>
      <c r="CJ201" s="797"/>
      <c r="CK201" s="797"/>
      <c r="CL201" s="797"/>
      <c r="CM201" s="797"/>
      <c r="CN201" s="797"/>
      <c r="CO201" s="797"/>
      <c r="CP201" s="797"/>
      <c r="CQ201" s="797"/>
      <c r="CR201" s="797"/>
      <c r="CS201" s="797"/>
      <c r="CT201" s="797"/>
      <c r="CU201" s="797"/>
    </row>
    <row r="202" spans="1:99" x14ac:dyDescent="0.25">
      <c r="A202" s="171"/>
      <c r="B202" s="171"/>
      <c r="C202" s="171"/>
      <c r="D202" s="171"/>
      <c r="E202" s="171"/>
      <c r="F202" s="171"/>
      <c r="G202" s="171"/>
      <c r="H202" s="171"/>
      <c r="I202" s="171"/>
      <c r="J202" s="151"/>
      <c r="K202" s="151"/>
      <c r="L202" s="151"/>
      <c r="M202" s="151"/>
      <c r="N202" s="171"/>
      <c r="O202" s="171"/>
      <c r="P202" s="171" t="s">
        <v>54</v>
      </c>
      <c r="Q202" s="245" t="b">
        <f>IF(R202&gt;0,"M")</f>
        <v>0</v>
      </c>
      <c r="R202" s="245">
        <f>(R206*R204)</f>
        <v>-1</v>
      </c>
      <c r="S202" s="151"/>
      <c r="T202" s="171"/>
      <c r="U202" s="171"/>
      <c r="V202" s="171"/>
      <c r="W202" s="171"/>
      <c r="X202" s="171"/>
      <c r="Y202" s="171"/>
      <c r="Z202" s="171"/>
      <c r="AA202" s="171"/>
      <c r="AB202" s="171"/>
      <c r="AC202" s="151"/>
      <c r="AD202" s="151"/>
      <c r="AE202" s="151"/>
      <c r="AF202" s="151"/>
      <c r="AG202" s="171"/>
      <c r="AH202" s="171"/>
      <c r="AI202" s="171" t="s">
        <v>54</v>
      </c>
      <c r="AJ202" s="245" t="b">
        <f>IF(AK202&gt;0,"M")</f>
        <v>0</v>
      </c>
      <c r="AK202" s="245">
        <f>(AK206*AK204)</f>
        <v>-1</v>
      </c>
      <c r="AL202" s="151"/>
      <c r="AM202" s="171"/>
      <c r="AN202" s="171"/>
      <c r="AO202" s="171"/>
      <c r="AP202" s="171"/>
      <c r="AQ202" s="171"/>
      <c r="AR202" s="171"/>
      <c r="AS202" s="171"/>
      <c r="AT202" s="171"/>
      <c r="AU202" s="171"/>
      <c r="AV202" s="151"/>
      <c r="AW202" s="151"/>
      <c r="AX202" s="151"/>
      <c r="AY202" s="151"/>
      <c r="AZ202" s="171"/>
      <c r="BA202" s="171"/>
      <c r="BB202" s="171" t="s">
        <v>54</v>
      </c>
      <c r="BC202" s="245" t="b">
        <f>IF(BD202&gt;0,"M")</f>
        <v>0</v>
      </c>
      <c r="BD202" s="245">
        <f>(BD206*BD204)</f>
        <v>-1</v>
      </c>
      <c r="BE202" s="151"/>
      <c r="BF202" s="171"/>
      <c r="BG202" s="171"/>
      <c r="BH202" s="171"/>
      <c r="BI202" s="171"/>
      <c r="BJ202" s="171"/>
      <c r="BK202" s="171"/>
      <c r="BL202" s="171"/>
      <c r="BM202" s="171"/>
      <c r="BN202" s="171"/>
      <c r="BO202" s="151"/>
      <c r="BP202" s="151"/>
      <c r="BQ202" s="151"/>
      <c r="BR202" s="151"/>
      <c r="BS202" s="171"/>
      <c r="BT202" s="171"/>
      <c r="BU202" s="171" t="s">
        <v>54</v>
      </c>
      <c r="BV202" s="245" t="b">
        <f>IF(BW202&gt;0,"M")</f>
        <v>0</v>
      </c>
      <c r="BW202" s="245">
        <f>(BW206*BW204)</f>
        <v>-1</v>
      </c>
      <c r="BX202" s="151"/>
      <c r="BY202" s="797"/>
      <c r="BZ202" s="797"/>
      <c r="CA202" s="797"/>
      <c r="CB202" s="797"/>
      <c r="CC202" s="797"/>
      <c r="CD202" s="797"/>
      <c r="CE202" s="797"/>
      <c r="CF202" s="797"/>
      <c r="CG202" s="797"/>
      <c r="CH202" s="797"/>
      <c r="CI202" s="797"/>
      <c r="CJ202" s="797"/>
      <c r="CK202" s="797"/>
      <c r="CL202" s="797"/>
      <c r="CM202" s="797"/>
      <c r="CN202" s="797"/>
      <c r="CO202" s="797"/>
      <c r="CP202" s="797"/>
      <c r="CQ202" s="797"/>
      <c r="CR202" s="797"/>
      <c r="CS202" s="797"/>
      <c r="CT202" s="797"/>
      <c r="CU202" s="797"/>
    </row>
    <row r="203" spans="1:99" x14ac:dyDescent="0.25">
      <c r="A203" s="171"/>
      <c r="B203" s="171"/>
      <c r="C203" s="171"/>
      <c r="D203" s="171"/>
      <c r="E203" s="171"/>
      <c r="F203" s="171"/>
      <c r="G203" s="171"/>
      <c r="H203" s="171"/>
      <c r="I203" s="171"/>
      <c r="J203" s="151"/>
      <c r="K203" s="151"/>
      <c r="L203" s="151"/>
      <c r="M203" s="151"/>
      <c r="N203" s="171"/>
      <c r="O203" s="171"/>
      <c r="P203" s="171"/>
      <c r="Q203" s="245" t="str">
        <f>IF(R206+R207&lt;0,"-M")</f>
        <v>-M</v>
      </c>
      <c r="R203" s="245">
        <f>(R207*R205)</f>
        <v>-1</v>
      </c>
      <c r="S203" s="151"/>
      <c r="T203" s="171"/>
      <c r="U203" s="171"/>
      <c r="V203" s="171"/>
      <c r="W203" s="171"/>
      <c r="X203" s="171"/>
      <c r="Y203" s="171"/>
      <c r="Z203" s="171"/>
      <c r="AA203" s="171"/>
      <c r="AB203" s="171"/>
      <c r="AC203" s="151"/>
      <c r="AD203" s="151"/>
      <c r="AE203" s="151"/>
      <c r="AF203" s="151"/>
      <c r="AG203" s="171"/>
      <c r="AH203" s="171"/>
      <c r="AI203" s="171"/>
      <c r="AJ203" s="245" t="str">
        <f>IF(AK206+AK207&lt;0,"-M")</f>
        <v>-M</v>
      </c>
      <c r="AK203" s="245">
        <f>(AK207*AK205)</f>
        <v>-1</v>
      </c>
      <c r="AL203" s="151"/>
      <c r="AM203" s="171"/>
      <c r="AN203" s="171"/>
      <c r="AO203" s="171"/>
      <c r="AP203" s="171"/>
      <c r="AQ203" s="171"/>
      <c r="AR203" s="171"/>
      <c r="AS203" s="171"/>
      <c r="AT203" s="171"/>
      <c r="AU203" s="171"/>
      <c r="AV203" s="151"/>
      <c r="AW203" s="151"/>
      <c r="AX203" s="151"/>
      <c r="AY203" s="151"/>
      <c r="AZ203" s="171"/>
      <c r="BA203" s="171"/>
      <c r="BB203" s="171"/>
      <c r="BC203" s="245" t="str">
        <f>IF(BD206+BD207&lt;0,"-M")</f>
        <v>-M</v>
      </c>
      <c r="BD203" s="245">
        <f>(BD207*BD205)</f>
        <v>-1</v>
      </c>
      <c r="BE203" s="151"/>
      <c r="BF203" s="171"/>
      <c r="BG203" s="171"/>
      <c r="BH203" s="171"/>
      <c r="BI203" s="171"/>
      <c r="BJ203" s="171"/>
      <c r="BK203" s="171"/>
      <c r="BL203" s="171"/>
      <c r="BM203" s="171"/>
      <c r="BN203" s="171"/>
      <c r="BO203" s="151"/>
      <c r="BP203" s="151"/>
      <c r="BQ203" s="151"/>
      <c r="BR203" s="151"/>
      <c r="BS203" s="171"/>
      <c r="BT203" s="171"/>
      <c r="BU203" s="171"/>
      <c r="BV203" s="245" t="str">
        <f>IF(BW206+BW207&lt;0,"-M")</f>
        <v>-M</v>
      </c>
      <c r="BW203" s="245">
        <f>(BW207*BW205)</f>
        <v>-1</v>
      </c>
      <c r="BX203" s="151"/>
      <c r="BY203" s="797"/>
      <c r="BZ203" s="797"/>
      <c r="CA203" s="797"/>
      <c r="CB203" s="797"/>
      <c r="CC203" s="797"/>
      <c r="CD203" s="797"/>
      <c r="CE203" s="797"/>
      <c r="CF203" s="797"/>
      <c r="CG203" s="797"/>
      <c r="CH203" s="797"/>
      <c r="CI203" s="797"/>
      <c r="CJ203" s="797"/>
      <c r="CK203" s="797"/>
      <c r="CL203" s="797"/>
      <c r="CM203" s="797"/>
      <c r="CN203" s="797"/>
      <c r="CO203" s="797"/>
      <c r="CP203" s="797"/>
      <c r="CQ203" s="797"/>
      <c r="CR203" s="797"/>
      <c r="CS203" s="797"/>
      <c r="CT203" s="797"/>
      <c r="CU203" s="797"/>
    </row>
    <row r="204" spans="1:99" x14ac:dyDescent="0.25">
      <c r="A204" s="171"/>
      <c r="B204" s="171"/>
      <c r="C204" s="171"/>
      <c r="D204" s="171"/>
      <c r="E204" s="171"/>
      <c r="F204" s="171"/>
      <c r="G204" s="171"/>
      <c r="H204" s="171"/>
      <c r="I204" s="171"/>
      <c r="J204" s="151"/>
      <c r="K204" s="151"/>
      <c r="L204" s="151"/>
      <c r="M204" s="151"/>
      <c r="N204" s="171"/>
      <c r="O204" s="171"/>
      <c r="P204" s="171"/>
      <c r="Q204" s="245" t="b">
        <f>IF(R206+R207&gt;0,"+M")</f>
        <v>0</v>
      </c>
      <c r="R204" s="245">
        <f>(P206*O206*N206)</f>
        <v>1</v>
      </c>
      <c r="S204" s="151"/>
      <c r="T204" s="171"/>
      <c r="U204" s="171"/>
      <c r="V204" s="171"/>
      <c r="W204" s="171"/>
      <c r="X204" s="171"/>
      <c r="Y204" s="171"/>
      <c r="Z204" s="171"/>
      <c r="AA204" s="171"/>
      <c r="AB204" s="171"/>
      <c r="AC204" s="151"/>
      <c r="AD204" s="151"/>
      <c r="AE204" s="151"/>
      <c r="AF204" s="151"/>
      <c r="AG204" s="171"/>
      <c r="AH204" s="171"/>
      <c r="AI204" s="171"/>
      <c r="AJ204" s="245" t="b">
        <f>IF(AK206+AK207&gt;0,"+M")</f>
        <v>0</v>
      </c>
      <c r="AK204" s="245">
        <f>(AI206*AH206*AG206)</f>
        <v>1</v>
      </c>
      <c r="AL204" s="151"/>
      <c r="AM204" s="171"/>
      <c r="AN204" s="171"/>
      <c r="AO204" s="171"/>
      <c r="AP204" s="171"/>
      <c r="AQ204" s="171"/>
      <c r="AR204" s="171"/>
      <c r="AS204" s="171"/>
      <c r="AT204" s="171"/>
      <c r="AU204" s="171"/>
      <c r="AV204" s="151"/>
      <c r="AW204" s="151"/>
      <c r="AX204" s="151"/>
      <c r="AY204" s="151"/>
      <c r="AZ204" s="171"/>
      <c r="BA204" s="171"/>
      <c r="BB204" s="171"/>
      <c r="BC204" s="245" t="b">
        <f>IF(BD206+BD207&gt;0,"+M")</f>
        <v>0</v>
      </c>
      <c r="BD204" s="245">
        <f>(BB206*BA206*AZ206)</f>
        <v>1</v>
      </c>
      <c r="BE204" s="151"/>
      <c r="BF204" s="171"/>
      <c r="BG204" s="171"/>
      <c r="BH204" s="171"/>
      <c r="BI204" s="171"/>
      <c r="BJ204" s="171"/>
      <c r="BK204" s="171"/>
      <c r="BL204" s="171"/>
      <c r="BM204" s="171"/>
      <c r="BN204" s="171"/>
      <c r="BO204" s="151"/>
      <c r="BP204" s="151"/>
      <c r="BQ204" s="151"/>
      <c r="BR204" s="151"/>
      <c r="BS204" s="171"/>
      <c r="BT204" s="171"/>
      <c r="BU204" s="171"/>
      <c r="BV204" s="245" t="b">
        <f>IF(BW206+BW207&gt;0,"+M")</f>
        <v>0</v>
      </c>
      <c r="BW204" s="245">
        <f>(BU206*BT206*BS206)</f>
        <v>1</v>
      </c>
      <c r="BX204" s="151"/>
      <c r="BY204" s="797"/>
      <c r="BZ204" s="797"/>
      <c r="CA204" s="797"/>
      <c r="CB204" s="797"/>
      <c r="CC204" s="797"/>
      <c r="CD204" s="797"/>
      <c r="CE204" s="797"/>
      <c r="CF204" s="797"/>
      <c r="CG204" s="797"/>
      <c r="CH204" s="797"/>
      <c r="CI204" s="797"/>
      <c r="CJ204" s="797"/>
      <c r="CK204" s="797"/>
      <c r="CL204" s="797"/>
      <c r="CM204" s="797"/>
      <c r="CN204" s="797"/>
      <c r="CO204" s="797"/>
      <c r="CP204" s="797"/>
      <c r="CQ204" s="797"/>
      <c r="CR204" s="797"/>
      <c r="CS204" s="797"/>
      <c r="CT204" s="797"/>
      <c r="CU204" s="797"/>
    </row>
    <row r="205" spans="1:99" x14ac:dyDescent="0.25">
      <c r="A205" s="245"/>
      <c r="B205" s="171"/>
      <c r="C205" s="245" t="str">
        <f>IF(S207&lt;690," BS ")</f>
        <v xml:space="preserve"> BS </v>
      </c>
      <c r="D205" s="245" t="b">
        <f>IF(S207&gt;3444," MB ")</f>
        <v>0</v>
      </c>
      <c r="E205" s="428">
        <f>P239</f>
        <v>-1</v>
      </c>
      <c r="F205" s="428">
        <f>P214</f>
        <v>-1</v>
      </c>
      <c r="G205" s="429"/>
      <c r="H205" s="428">
        <f>P191</f>
        <v>1</v>
      </c>
      <c r="I205" s="171"/>
      <c r="J205" s="151"/>
      <c r="K205" s="151"/>
      <c r="L205" s="151"/>
      <c r="M205" s="151"/>
      <c r="N205" s="245" t="str">
        <f>IF((M207+M206)=0,"E")</f>
        <v>E</v>
      </c>
      <c r="O205" s="245">
        <f>IF(Q206&gt;0,-1,1)</f>
        <v>1</v>
      </c>
      <c r="P205" s="245">
        <f>IF(Q206&lt;0,1,-1)</f>
        <v>1</v>
      </c>
      <c r="Q205" s="171"/>
      <c r="R205" s="245">
        <f>(P207*O207*N207)</f>
        <v>1</v>
      </c>
      <c r="S205" s="151"/>
      <c r="T205" s="245"/>
      <c r="U205" s="171"/>
      <c r="V205" s="245" t="str">
        <f>IF(AL207&lt;690," BS ")</f>
        <v xml:space="preserve"> BS </v>
      </c>
      <c r="W205" s="245" t="b">
        <f>IF(AL207&gt;3444," MB ")</f>
        <v>0</v>
      </c>
      <c r="X205" s="428">
        <f>AI239</f>
        <v>-1</v>
      </c>
      <c r="Y205" s="428">
        <f>AI214</f>
        <v>-1</v>
      </c>
      <c r="Z205" s="429"/>
      <c r="AA205" s="428">
        <f>AI191</f>
        <v>1</v>
      </c>
      <c r="AB205" s="171"/>
      <c r="AC205" s="151"/>
      <c r="AD205" s="151"/>
      <c r="AE205" s="151"/>
      <c r="AF205" s="151"/>
      <c r="AG205" s="245" t="str">
        <f>IF((AF207+AF206)=0,"E")</f>
        <v>E</v>
      </c>
      <c r="AH205" s="245">
        <f>IF(AJ206&gt;0,-1,1)</f>
        <v>1</v>
      </c>
      <c r="AI205" s="245">
        <f>IF(AJ206&lt;0,1,-1)</f>
        <v>1</v>
      </c>
      <c r="AJ205" s="171"/>
      <c r="AK205" s="245">
        <f>(AI207*AH207*AG207)</f>
        <v>1</v>
      </c>
      <c r="AL205" s="151"/>
      <c r="AM205" s="245"/>
      <c r="AN205" s="171"/>
      <c r="AO205" s="245" t="str">
        <f>IF(BE207&lt;690," BS ")</f>
        <v xml:space="preserve"> BS </v>
      </c>
      <c r="AP205" s="245" t="b">
        <f>IF(BE207&gt;3444," MB ")</f>
        <v>0</v>
      </c>
      <c r="AQ205" s="428">
        <f>BB239</f>
        <v>-1</v>
      </c>
      <c r="AR205" s="428">
        <f>BB214</f>
        <v>-1</v>
      </c>
      <c r="AS205" s="429"/>
      <c r="AT205" s="428">
        <f>BB191</f>
        <v>1</v>
      </c>
      <c r="AU205" s="171"/>
      <c r="AV205" s="151"/>
      <c r="AW205" s="151"/>
      <c r="AX205" s="151"/>
      <c r="AY205" s="151"/>
      <c r="AZ205" s="245" t="str">
        <f>IF((AY207+AY206)=0,"E")</f>
        <v>E</v>
      </c>
      <c r="BA205" s="245">
        <f>IF(BC206&gt;0,-1,1)</f>
        <v>1</v>
      </c>
      <c r="BB205" s="245">
        <f>IF(BC206&lt;0,1,-1)</f>
        <v>1</v>
      </c>
      <c r="BC205" s="171"/>
      <c r="BD205" s="245">
        <f>(BB207*BA207*AZ207)</f>
        <v>1</v>
      </c>
      <c r="BE205" s="151"/>
      <c r="BF205" s="245"/>
      <c r="BG205" s="171"/>
      <c r="BH205" s="245" t="str">
        <f>IF(BX207&lt;690," BS ")</f>
        <v xml:space="preserve"> BS </v>
      </c>
      <c r="BI205" s="245" t="b">
        <f>IF(BX207&gt;3444," MB ")</f>
        <v>0</v>
      </c>
      <c r="BJ205" s="428">
        <f>BU239</f>
        <v>-1</v>
      </c>
      <c r="BK205" s="428">
        <f>BU214</f>
        <v>-1</v>
      </c>
      <c r="BL205" s="429"/>
      <c r="BM205" s="428">
        <f>BU191</f>
        <v>1</v>
      </c>
      <c r="BN205" s="171"/>
      <c r="BO205" s="151"/>
      <c r="BP205" s="151"/>
      <c r="BQ205" s="151"/>
      <c r="BR205" s="151"/>
      <c r="BS205" s="245" t="str">
        <f>IF((BR207+BR206)=0,"E")</f>
        <v>E</v>
      </c>
      <c r="BT205" s="245">
        <f>IF(BV206&gt;0,-1,1)</f>
        <v>1</v>
      </c>
      <c r="BU205" s="245">
        <f>IF(BV206&lt;0,1,-1)</f>
        <v>1</v>
      </c>
      <c r="BV205" s="171"/>
      <c r="BW205" s="245">
        <f>(BU207*BT207*BS207)</f>
        <v>1</v>
      </c>
      <c r="BX205" s="151"/>
      <c r="BY205" s="797"/>
      <c r="BZ205" s="797"/>
      <c r="CA205" s="797"/>
      <c r="CB205" s="797"/>
      <c r="CC205" s="797"/>
      <c r="CD205" s="797"/>
      <c r="CE205" s="797"/>
      <c r="CF205" s="797"/>
      <c r="CG205" s="797"/>
      <c r="CH205" s="797"/>
      <c r="CI205" s="797"/>
      <c r="CJ205" s="797"/>
      <c r="CK205" s="797"/>
      <c r="CL205" s="797"/>
      <c r="CM205" s="797"/>
      <c r="CN205" s="797"/>
      <c r="CO205" s="797"/>
      <c r="CP205" s="797"/>
      <c r="CQ205" s="797"/>
      <c r="CR205" s="797"/>
      <c r="CS205" s="797"/>
      <c r="CT205" s="797"/>
      <c r="CU205" s="797"/>
    </row>
    <row r="206" spans="1:99" x14ac:dyDescent="0.25">
      <c r="A206" s="171"/>
      <c r="B206" s="171"/>
      <c r="C206" s="245" t="b">
        <f>IF(S207&gt;690," AS ")</f>
        <v>0</v>
      </c>
      <c r="D206" s="171"/>
      <c r="E206" s="152">
        <f>P237</f>
        <v>1</v>
      </c>
      <c r="F206" s="152">
        <f>P212</f>
        <v>1</v>
      </c>
      <c r="G206" s="245"/>
      <c r="H206" s="152">
        <f>P189</f>
        <v>-1</v>
      </c>
      <c r="I206" s="171"/>
      <c r="J206" s="151"/>
      <c r="K206" s="151"/>
      <c r="L206" s="151"/>
      <c r="M206" s="246"/>
      <c r="N206" s="247">
        <f>O238</f>
        <v>-1</v>
      </c>
      <c r="O206" s="247">
        <f>O213</f>
        <v>-1</v>
      </c>
      <c r="P206" s="247">
        <f>(O191)</f>
        <v>1</v>
      </c>
      <c r="Q206" s="248">
        <f>(Q199+Q222+Q247)</f>
        <v>-1382.6540942778558</v>
      </c>
      <c r="R206" s="249">
        <f>(P206+O206+N206)</f>
        <v>-1</v>
      </c>
      <c r="S206" s="244">
        <f>INT(R206)+R206</f>
        <v>-2</v>
      </c>
      <c r="T206" s="171"/>
      <c r="U206" s="171"/>
      <c r="V206" s="245" t="b">
        <f>IF(AL207&gt;690," AS ")</f>
        <v>0</v>
      </c>
      <c r="W206" s="171"/>
      <c r="X206" s="152">
        <f>AI237</f>
        <v>1</v>
      </c>
      <c r="Y206" s="152">
        <f>AI212</f>
        <v>1</v>
      </c>
      <c r="Z206" s="245"/>
      <c r="AA206" s="152">
        <f>AI189</f>
        <v>-1</v>
      </c>
      <c r="AB206" s="171"/>
      <c r="AC206" s="151"/>
      <c r="AD206" s="151"/>
      <c r="AE206" s="151"/>
      <c r="AF206" s="246"/>
      <c r="AG206" s="247">
        <f>AH238</f>
        <v>-1</v>
      </c>
      <c r="AH206" s="247">
        <f>AH213</f>
        <v>-1</v>
      </c>
      <c r="AI206" s="247">
        <f>(AH191)</f>
        <v>1</v>
      </c>
      <c r="AJ206" s="248">
        <f>(AJ199+AJ222+AJ247)</f>
        <v>-272.40989911437561</v>
      </c>
      <c r="AK206" s="249">
        <f>(AI206+AH206+AG206)</f>
        <v>-1</v>
      </c>
      <c r="AL206" s="244">
        <f>INT(AK206)+AK206</f>
        <v>-2</v>
      </c>
      <c r="AM206" s="171"/>
      <c r="AN206" s="171"/>
      <c r="AO206" s="245" t="b">
        <f>IF(BE207&gt;690," AS ")</f>
        <v>0</v>
      </c>
      <c r="AP206" s="171"/>
      <c r="AQ206" s="152">
        <f>BB237</f>
        <v>1</v>
      </c>
      <c r="AR206" s="152">
        <f>BB212</f>
        <v>1</v>
      </c>
      <c r="AS206" s="245"/>
      <c r="AT206" s="152">
        <f>BB189</f>
        <v>-1</v>
      </c>
      <c r="AU206" s="171"/>
      <c r="AV206" s="151"/>
      <c r="AW206" s="151"/>
      <c r="AX206" s="151"/>
      <c r="AY206" s="246"/>
      <c r="AZ206" s="247">
        <f>BA238</f>
        <v>-1</v>
      </c>
      <c r="BA206" s="247">
        <f>BA213</f>
        <v>-1</v>
      </c>
      <c r="BB206" s="247">
        <f>(BA191)</f>
        <v>1</v>
      </c>
      <c r="BC206" s="248">
        <f>(BC199+BC222+BC247)</f>
        <v>-696.35599504391462</v>
      </c>
      <c r="BD206" s="249">
        <f>(BB206+BA206+AZ206)</f>
        <v>-1</v>
      </c>
      <c r="BE206" s="244">
        <f>INT(BD206)+BD206</f>
        <v>-2</v>
      </c>
      <c r="BF206" s="171"/>
      <c r="BG206" s="171"/>
      <c r="BH206" s="245" t="b">
        <f>IF(BX207&gt;690," AS ")</f>
        <v>0</v>
      </c>
      <c r="BI206" s="171"/>
      <c r="BJ206" s="152">
        <f>BU237</f>
        <v>1</v>
      </c>
      <c r="BK206" s="152">
        <f>BU212</f>
        <v>1</v>
      </c>
      <c r="BL206" s="245"/>
      <c r="BM206" s="152">
        <f>BU189</f>
        <v>-1</v>
      </c>
      <c r="BN206" s="171"/>
      <c r="BO206" s="151"/>
      <c r="BP206" s="151"/>
      <c r="BQ206" s="151"/>
      <c r="BR206" s="246"/>
      <c r="BS206" s="247">
        <f>BT238</f>
        <v>-1</v>
      </c>
      <c r="BT206" s="247">
        <f>BT213</f>
        <v>-1</v>
      </c>
      <c r="BU206" s="247">
        <f>(BT191)</f>
        <v>1</v>
      </c>
      <c r="BV206" s="248">
        <f>(BV199+BV222+BV247)</f>
        <v>-395.17584139983285</v>
      </c>
      <c r="BW206" s="249">
        <f>(BU206+BT206+BS206)</f>
        <v>-1</v>
      </c>
      <c r="BX206" s="244">
        <f>INT(BW206)+BW206</f>
        <v>-2</v>
      </c>
      <c r="BY206" s="797"/>
      <c r="BZ206" s="797"/>
      <c r="CA206" s="797"/>
      <c r="CB206" s="797"/>
      <c r="CC206" s="797"/>
      <c r="CD206" s="797"/>
      <c r="CE206" s="797"/>
      <c r="CF206" s="797"/>
      <c r="CG206" s="797"/>
      <c r="CH206" s="797"/>
      <c r="CI206" s="797"/>
      <c r="CJ206" s="797"/>
      <c r="CK206" s="797"/>
      <c r="CL206" s="797"/>
      <c r="CM206" s="797"/>
      <c r="CN206" s="797"/>
      <c r="CO206" s="797"/>
      <c r="CP206" s="797"/>
      <c r="CQ206" s="797"/>
      <c r="CR206" s="797"/>
      <c r="CS206" s="797"/>
      <c r="CT206" s="797"/>
      <c r="CU206" s="797"/>
    </row>
    <row r="207" spans="1:99" x14ac:dyDescent="0.25">
      <c r="A207" s="171"/>
      <c r="B207" s="171"/>
      <c r="C207" s="245" t="b">
        <f>IF(S207=0," F ")</f>
        <v>0</v>
      </c>
      <c r="D207" s="171"/>
      <c r="E207" s="152">
        <f>P240</f>
        <v>-1</v>
      </c>
      <c r="F207" s="152">
        <f>P215</f>
        <v>-1</v>
      </c>
      <c r="G207" s="245"/>
      <c r="H207" s="152">
        <f>P192</f>
        <v>-1</v>
      </c>
      <c r="I207" s="171"/>
      <c r="J207" s="151"/>
      <c r="K207" s="151"/>
      <c r="L207" s="151"/>
      <c r="M207" s="246"/>
      <c r="N207" s="247">
        <f>O239</f>
        <v>-1</v>
      </c>
      <c r="O207" s="247">
        <f>O214</f>
        <v>-1</v>
      </c>
      <c r="P207" s="247">
        <f>O190</f>
        <v>1</v>
      </c>
      <c r="Q207" s="245" t="b">
        <f>IF(Q206&gt;0,Q208)</f>
        <v>0</v>
      </c>
      <c r="R207" s="250">
        <f>(P207+O207+N207)</f>
        <v>-1</v>
      </c>
      <c r="S207" s="244">
        <f>(S206^8)</f>
        <v>256</v>
      </c>
      <c r="T207" s="171"/>
      <c r="U207" s="171"/>
      <c r="V207" s="245" t="b">
        <f>IF(AL207=0," F ")</f>
        <v>0</v>
      </c>
      <c r="W207" s="171"/>
      <c r="X207" s="152">
        <f>AI240</f>
        <v>-1</v>
      </c>
      <c r="Y207" s="152">
        <f>AI215</f>
        <v>-1</v>
      </c>
      <c r="Z207" s="245"/>
      <c r="AA207" s="152">
        <f>AI192</f>
        <v>-1</v>
      </c>
      <c r="AB207" s="171"/>
      <c r="AC207" s="151"/>
      <c r="AD207" s="151"/>
      <c r="AE207" s="151"/>
      <c r="AF207" s="246"/>
      <c r="AG207" s="247">
        <f>AH239</f>
        <v>-1</v>
      </c>
      <c r="AH207" s="247">
        <f>AH214</f>
        <v>-1</v>
      </c>
      <c r="AI207" s="247">
        <f>AH190</f>
        <v>1</v>
      </c>
      <c r="AJ207" s="245" t="b">
        <f>IF(AJ206&gt;0,AJ208)</f>
        <v>0</v>
      </c>
      <c r="AK207" s="250">
        <f>(AI207+AH207+AG207)</f>
        <v>-1</v>
      </c>
      <c r="AL207" s="244">
        <f>(AL206^8)</f>
        <v>256</v>
      </c>
      <c r="AM207" s="171"/>
      <c r="AN207" s="171"/>
      <c r="AO207" s="245" t="b">
        <f>IF(BE207=0," F ")</f>
        <v>0</v>
      </c>
      <c r="AP207" s="171"/>
      <c r="AQ207" s="152">
        <f>BB240</f>
        <v>-1</v>
      </c>
      <c r="AR207" s="152">
        <f>BB215</f>
        <v>-1</v>
      </c>
      <c r="AS207" s="245"/>
      <c r="AT207" s="152">
        <f>BB192</f>
        <v>-1</v>
      </c>
      <c r="AU207" s="171"/>
      <c r="AV207" s="151"/>
      <c r="AW207" s="151"/>
      <c r="AX207" s="151"/>
      <c r="AY207" s="246"/>
      <c r="AZ207" s="247">
        <f>BA239</f>
        <v>-1</v>
      </c>
      <c r="BA207" s="247">
        <f>BA214</f>
        <v>-1</v>
      </c>
      <c r="BB207" s="247">
        <f>BA190</f>
        <v>1</v>
      </c>
      <c r="BC207" s="245" t="b">
        <f>IF(BC206&gt;0,BC208)</f>
        <v>0</v>
      </c>
      <c r="BD207" s="250">
        <f>(BB207+BA207+AZ207)</f>
        <v>-1</v>
      </c>
      <c r="BE207" s="244">
        <f>(BE206^8)</f>
        <v>256</v>
      </c>
      <c r="BF207" s="171"/>
      <c r="BG207" s="171"/>
      <c r="BH207" s="245" t="b">
        <f>IF(BX207=0," F ")</f>
        <v>0</v>
      </c>
      <c r="BI207" s="171"/>
      <c r="BJ207" s="152">
        <f>BU240</f>
        <v>-1</v>
      </c>
      <c r="BK207" s="152">
        <f>BU215</f>
        <v>-1</v>
      </c>
      <c r="BL207" s="245"/>
      <c r="BM207" s="152">
        <f>BU192</f>
        <v>-1</v>
      </c>
      <c r="BN207" s="171"/>
      <c r="BO207" s="151"/>
      <c r="BP207" s="151"/>
      <c r="BQ207" s="151"/>
      <c r="BR207" s="246"/>
      <c r="BS207" s="247">
        <f>BT239</f>
        <v>-1</v>
      </c>
      <c r="BT207" s="247">
        <f>BT214</f>
        <v>-1</v>
      </c>
      <c r="BU207" s="247">
        <f>BT190</f>
        <v>1</v>
      </c>
      <c r="BV207" s="245" t="b">
        <f>IF(BV206&gt;0,BV208)</f>
        <v>0</v>
      </c>
      <c r="BW207" s="250">
        <f>(BU207+BT207+BS207)</f>
        <v>-1</v>
      </c>
      <c r="BX207" s="244">
        <f>(BX206^8)</f>
        <v>256</v>
      </c>
      <c r="BY207" s="797"/>
      <c r="BZ207" s="797"/>
      <c r="CA207" s="797"/>
      <c r="CB207" s="797"/>
      <c r="CC207" s="797"/>
      <c r="CD207" s="797"/>
      <c r="CE207" s="797"/>
      <c r="CF207" s="797"/>
      <c r="CG207" s="797"/>
      <c r="CH207" s="797"/>
      <c r="CI207" s="797"/>
      <c r="CJ207" s="797"/>
      <c r="CK207" s="797"/>
      <c r="CL207" s="797"/>
      <c r="CM207" s="797"/>
      <c r="CN207" s="797"/>
      <c r="CO207" s="797"/>
      <c r="CP207" s="797"/>
      <c r="CQ207" s="797"/>
      <c r="CR207" s="797"/>
      <c r="CS207" s="797"/>
      <c r="CT207" s="797"/>
      <c r="CU207" s="797"/>
    </row>
    <row r="208" spans="1:99" x14ac:dyDescent="0.25">
      <c r="A208" s="171"/>
      <c r="B208" s="171"/>
      <c r="C208" s="245" t="b">
        <f>IF(S207&gt;1797," UB ")</f>
        <v>0</v>
      </c>
      <c r="D208" s="171"/>
      <c r="E208" s="258">
        <f>P238</f>
        <v>1</v>
      </c>
      <c r="F208" s="258">
        <f>P213</f>
        <v>1</v>
      </c>
      <c r="G208" s="259"/>
      <c r="H208" s="258">
        <f>P190</f>
        <v>1</v>
      </c>
      <c r="I208" s="171"/>
      <c r="J208" s="151"/>
      <c r="K208" s="151"/>
      <c r="L208" s="151"/>
      <c r="M208" s="151"/>
      <c r="N208" s="171"/>
      <c r="O208" s="171"/>
      <c r="P208" s="171"/>
      <c r="Q208" s="260">
        <f>-OR186+1</f>
        <v>1</v>
      </c>
      <c r="R208" s="245"/>
      <c r="S208" s="151"/>
      <c r="T208" s="171"/>
      <c r="U208" s="171"/>
      <c r="V208" s="245" t="b">
        <f>IF(AL207&gt;1797," UB ")</f>
        <v>0</v>
      </c>
      <c r="W208" s="171"/>
      <c r="X208" s="258">
        <f>AI238</f>
        <v>1</v>
      </c>
      <c r="Y208" s="258">
        <f>AI213</f>
        <v>1</v>
      </c>
      <c r="Z208" s="259"/>
      <c r="AA208" s="258">
        <f>AI190</f>
        <v>1</v>
      </c>
      <c r="AB208" s="171"/>
      <c r="AC208" s="151"/>
      <c r="AD208" s="151"/>
      <c r="AE208" s="151"/>
      <c r="AF208" s="151"/>
      <c r="AG208" s="171"/>
      <c r="AH208" s="171"/>
      <c r="AI208" s="171"/>
      <c r="AJ208" s="260">
        <f>-PK186+1</f>
        <v>1</v>
      </c>
      <c r="AK208" s="245"/>
      <c r="AL208" s="151"/>
      <c r="AM208" s="171"/>
      <c r="AN208" s="171"/>
      <c r="AO208" s="245" t="b">
        <f>IF(BE207&gt;1797," UB ")</f>
        <v>0</v>
      </c>
      <c r="AP208" s="171"/>
      <c r="AQ208" s="258">
        <f>BB238</f>
        <v>1</v>
      </c>
      <c r="AR208" s="258">
        <f>BB213</f>
        <v>1</v>
      </c>
      <c r="AS208" s="259"/>
      <c r="AT208" s="258">
        <f>BB190</f>
        <v>1</v>
      </c>
      <c r="AU208" s="171"/>
      <c r="AV208" s="151"/>
      <c r="AW208" s="151"/>
      <c r="AX208" s="151"/>
      <c r="AY208" s="151"/>
      <c r="AZ208" s="171"/>
      <c r="BA208" s="171"/>
      <c r="BB208" s="171"/>
      <c r="BC208" s="260">
        <f>-QD186+1</f>
        <v>1</v>
      </c>
      <c r="BD208" s="245"/>
      <c r="BE208" s="151"/>
      <c r="BF208" s="171"/>
      <c r="BG208" s="171"/>
      <c r="BH208" s="245" t="b">
        <f>IF(BX207&gt;1797," UB ")</f>
        <v>0</v>
      </c>
      <c r="BI208" s="171"/>
      <c r="BJ208" s="258">
        <f>BU238</f>
        <v>1</v>
      </c>
      <c r="BK208" s="258">
        <f>BU213</f>
        <v>1</v>
      </c>
      <c r="BL208" s="259"/>
      <c r="BM208" s="258">
        <f>BU190</f>
        <v>1</v>
      </c>
      <c r="BN208" s="171"/>
      <c r="BO208" s="151"/>
      <c r="BP208" s="151"/>
      <c r="BQ208" s="151"/>
      <c r="BR208" s="151"/>
      <c r="BS208" s="171"/>
      <c r="BT208" s="171"/>
      <c r="BU208" s="171"/>
      <c r="BV208" s="260">
        <f>-QW186+1</f>
        <v>1</v>
      </c>
      <c r="BW208" s="245"/>
      <c r="BX208" s="151"/>
      <c r="BY208" s="797"/>
      <c r="BZ208" s="797"/>
      <c r="CA208" s="797"/>
      <c r="CB208" s="797"/>
      <c r="CC208" s="797"/>
      <c r="CD208" s="797"/>
      <c r="CE208" s="797"/>
      <c r="CF208" s="797"/>
      <c r="CG208" s="797"/>
      <c r="CH208" s="797"/>
      <c r="CI208" s="797"/>
      <c r="CJ208" s="797"/>
      <c r="CK208" s="797"/>
      <c r="CL208" s="797"/>
      <c r="CM208" s="797"/>
      <c r="CN208" s="797"/>
      <c r="CO208" s="797"/>
      <c r="CP208" s="797"/>
      <c r="CQ208" s="797"/>
      <c r="CR208" s="797"/>
      <c r="CS208" s="797"/>
      <c r="CT208" s="797"/>
      <c r="CU208" s="797"/>
    </row>
    <row r="209" spans="1:99" x14ac:dyDescent="0.25">
      <c r="A209" s="152">
        <f>P224</f>
        <v>224.16541288741769</v>
      </c>
      <c r="B209" s="154">
        <f>(A209*10^0.125)</f>
        <v>298.92938243511207</v>
      </c>
      <c r="C209" s="154">
        <f>INT(B209)</f>
        <v>298</v>
      </c>
      <c r="D209" s="154">
        <f>C209*4</f>
        <v>1192</v>
      </c>
      <c r="E209" s="154">
        <f>D209/5</f>
        <v>238.4</v>
      </c>
      <c r="F209" s="149">
        <f>E209^2</f>
        <v>56834.560000000005</v>
      </c>
      <c r="G209" s="149">
        <f>(F209^0.125)</f>
        <v>3.9294029129748234</v>
      </c>
      <c r="H209" s="149">
        <f>G209/3</f>
        <v>1.3098009709916079</v>
      </c>
      <c r="I209" s="149">
        <f>(H209*100)</f>
        <v>130.98009709916079</v>
      </c>
      <c r="J209" s="149">
        <f>(F209/100)</f>
        <v>568.3456000000001</v>
      </c>
      <c r="K209" s="149">
        <f>(J209+I209)/2</f>
        <v>349.66284854958042</v>
      </c>
      <c r="L209" s="149">
        <f>(K209+I209)/2</f>
        <v>240.3214728243706</v>
      </c>
      <c r="M209" s="149">
        <f>(L209+A209)/2</f>
        <v>232.24344285589416</v>
      </c>
      <c r="N209" s="149">
        <f>M209*100^0.5</f>
        <v>2322.4344285589414</v>
      </c>
      <c r="O209" s="149">
        <f>INT(N209)/10</f>
        <v>232.2</v>
      </c>
      <c r="P209" s="149">
        <f>(O209)^2/10000</f>
        <v>5.3916839999999997</v>
      </c>
      <c r="Q209" s="149">
        <f>(P209+I209+M209)/3</f>
        <v>122.87174131835165</v>
      </c>
      <c r="R209" s="150">
        <f>Q214^0.5</f>
        <v>31.927371044724204</v>
      </c>
      <c r="S209" s="151"/>
      <c r="T209" s="152">
        <f>AI224</f>
        <v>225.23427646987378</v>
      </c>
      <c r="U209" s="154">
        <f>(T209*10^0.125)</f>
        <v>300.35473493037614</v>
      </c>
      <c r="V209" s="154">
        <f>INT(U209)</f>
        <v>300</v>
      </c>
      <c r="W209" s="154">
        <f>V209*4</f>
        <v>1200</v>
      </c>
      <c r="X209" s="154">
        <f>W209/5</f>
        <v>240</v>
      </c>
      <c r="Y209" s="149">
        <f>X209^2</f>
        <v>57600</v>
      </c>
      <c r="Z209" s="149">
        <f>(Y209^0.125)</f>
        <v>3.9359793425308607</v>
      </c>
      <c r="AA209" s="149">
        <f>Z209/3</f>
        <v>1.3119931141769536</v>
      </c>
      <c r="AB209" s="149">
        <f>(AA209*100)</f>
        <v>131.19931141769536</v>
      </c>
      <c r="AC209" s="149">
        <f>(Y209/100)</f>
        <v>576</v>
      </c>
      <c r="AD209" s="149">
        <f>(AC209+AB209)/2</f>
        <v>353.59965570884765</v>
      </c>
      <c r="AE209" s="149">
        <f>(AD209+AB209)/2</f>
        <v>242.3994835632715</v>
      </c>
      <c r="AF209" s="149">
        <f>(AE209+T209)/2</f>
        <v>233.81688001657264</v>
      </c>
      <c r="AG209" s="149">
        <f>AF209*100^0.5</f>
        <v>2338.1688001657262</v>
      </c>
      <c r="AH209" s="149">
        <f>INT(AG209)/10</f>
        <v>233.8</v>
      </c>
      <c r="AI209" s="149">
        <f>(AH209)^2/10000</f>
        <v>5.4662440000000005</v>
      </c>
      <c r="AJ209" s="149">
        <f>(AI209+AB209+AF209)/3</f>
        <v>123.49414514475599</v>
      </c>
      <c r="AK209" s="150">
        <f>AJ214^0.5</f>
        <v>31.927371044724204</v>
      </c>
      <c r="AL209" s="151"/>
      <c r="AM209" s="152">
        <f>BB224</f>
        <v>224.31457973038357</v>
      </c>
      <c r="AN209" s="154">
        <f>(AM209*10^0.125)</f>
        <v>299.12829961717523</v>
      </c>
      <c r="AO209" s="154">
        <f>INT(AN209)</f>
        <v>299</v>
      </c>
      <c r="AP209" s="154">
        <f>AO209*4</f>
        <v>1196</v>
      </c>
      <c r="AQ209" s="154">
        <f>AP209/5</f>
        <v>239.2</v>
      </c>
      <c r="AR209" s="149">
        <f>AQ209^2</f>
        <v>57216.639999999992</v>
      </c>
      <c r="AS209" s="149">
        <f>(AR209^0.125)</f>
        <v>3.9326952517764404</v>
      </c>
      <c r="AT209" s="149">
        <f>AS209/3</f>
        <v>1.3108984172588134</v>
      </c>
      <c r="AU209" s="149">
        <f>(AT209*100)</f>
        <v>131.08984172588134</v>
      </c>
      <c r="AV209" s="149">
        <f>(AR209/100)</f>
        <v>572.16639999999995</v>
      </c>
      <c r="AW209" s="149">
        <f>(AV209+AU209)/2</f>
        <v>351.62812086294065</v>
      </c>
      <c r="AX209" s="149">
        <f>(AW209+AU209)/2</f>
        <v>241.358981294411</v>
      </c>
      <c r="AY209" s="149">
        <f>(AX209+AM209)/2</f>
        <v>232.8367805123973</v>
      </c>
      <c r="AZ209" s="149">
        <f>AY209*100^0.5</f>
        <v>2328.3678051239731</v>
      </c>
      <c r="BA209" s="149">
        <f>INT(AZ209)/10</f>
        <v>232.8</v>
      </c>
      <c r="BB209" s="149">
        <f>(BA209)^2/10000</f>
        <v>5.4195840000000004</v>
      </c>
      <c r="BC209" s="149">
        <f>(BB209+AU209+AY209)/3</f>
        <v>123.1154020794262</v>
      </c>
      <c r="BD209" s="150">
        <f>BC214^0.5</f>
        <v>35.578858176638263</v>
      </c>
      <c r="BE209" s="151"/>
      <c r="BF209" s="152">
        <f>BU224</f>
        <v>223.80333515142752</v>
      </c>
      <c r="BG209" s="154">
        <f>(BF209*10^0.125)</f>
        <v>298.44654401406001</v>
      </c>
      <c r="BH209" s="154">
        <f>INT(BG209)</f>
        <v>298</v>
      </c>
      <c r="BI209" s="154">
        <f>BH209*4</f>
        <v>1192</v>
      </c>
      <c r="BJ209" s="154">
        <f>BI209/5</f>
        <v>238.4</v>
      </c>
      <c r="BK209" s="149">
        <f>BJ209^2</f>
        <v>56834.560000000005</v>
      </c>
      <c r="BL209" s="149">
        <f>(BK209^0.125)</f>
        <v>3.9294029129748234</v>
      </c>
      <c r="BM209" s="149">
        <f>BL209/3</f>
        <v>1.3098009709916079</v>
      </c>
      <c r="BN209" s="149">
        <f>(BM209*100)</f>
        <v>130.98009709916079</v>
      </c>
      <c r="BO209" s="149">
        <f>(BK209/100)</f>
        <v>568.3456000000001</v>
      </c>
      <c r="BP209" s="149">
        <f>(BO209+BN209)/2</f>
        <v>349.66284854958042</v>
      </c>
      <c r="BQ209" s="149">
        <f>(BP209+BN209)/2</f>
        <v>240.3214728243706</v>
      </c>
      <c r="BR209" s="149">
        <f>(BQ209+BF209)/2</f>
        <v>232.06240398789907</v>
      </c>
      <c r="BS209" s="149">
        <f>BR209*100^0.5</f>
        <v>2320.6240398789905</v>
      </c>
      <c r="BT209" s="149">
        <f>INT(BS209)/10</f>
        <v>232</v>
      </c>
      <c r="BU209" s="149">
        <f>(BT209)^2/10000</f>
        <v>5.3823999999999996</v>
      </c>
      <c r="BV209" s="149">
        <f>(BU209+BN209+BR209)/3</f>
        <v>122.80830036235329</v>
      </c>
      <c r="BW209" s="150">
        <f>BV214^0.5</f>
        <v>35.578858176638263</v>
      </c>
      <c r="BX209" s="151"/>
      <c r="BY209" s="797"/>
      <c r="BZ209" s="797"/>
      <c r="CA209" s="797"/>
      <c r="CB209" s="797"/>
      <c r="CC209" s="797"/>
      <c r="CD209" s="797"/>
      <c r="CE209" s="797"/>
      <c r="CF209" s="797"/>
      <c r="CG209" s="797"/>
      <c r="CH209" s="797"/>
      <c r="CI209" s="797"/>
      <c r="CJ209" s="797"/>
      <c r="CK209" s="797"/>
      <c r="CL209" s="797"/>
      <c r="CM209" s="797"/>
      <c r="CN209" s="797"/>
      <c r="CO209" s="797"/>
      <c r="CP209" s="797"/>
      <c r="CQ209" s="797"/>
      <c r="CR209" s="797"/>
      <c r="CS209" s="797"/>
      <c r="CT209" s="797"/>
      <c r="CU209" s="797"/>
    </row>
    <row r="210" spans="1:99" x14ac:dyDescent="0.25">
      <c r="A210" s="163">
        <f>(O211-O210)</f>
        <v>3.8061050011378086</v>
      </c>
      <c r="B210" s="154">
        <f>(B211+A212)/2</f>
        <v>217.28267986629965</v>
      </c>
      <c r="C210" s="164">
        <f>(D212*C212*B212*C211*D211*A210)</f>
        <v>26298530798827.793</v>
      </c>
      <c r="D210" s="154">
        <f>(C211*C210*A210)</f>
        <v>26260571670.025513</v>
      </c>
      <c r="E210" s="163">
        <f>INT(A210+1)</f>
        <v>4</v>
      </c>
      <c r="F210" s="165">
        <f>(Q222*-1)</f>
        <v>512.90872262914922</v>
      </c>
      <c r="G210" s="161"/>
      <c r="H210" s="152">
        <f>IF(F210&lt;0,1,-1)</f>
        <v>-1</v>
      </c>
      <c r="I210" s="161"/>
      <c r="J210" s="161"/>
      <c r="K210" s="161"/>
      <c r="L210" s="161"/>
      <c r="M210" s="161"/>
      <c r="N210" s="161">
        <f>(M209+O209)/2</f>
        <v>232.22172142794707</v>
      </c>
      <c r="O210" s="161">
        <f>N210-A209</f>
        <v>8.0563085405293862</v>
      </c>
      <c r="P210" s="161">
        <f>(Q214+R212)/2</f>
        <v>990.17851091374678</v>
      </c>
      <c r="Q210" s="162">
        <f>(Q213*A210*100)</f>
        <v>566.06310205262844</v>
      </c>
      <c r="R210" s="150">
        <f>INT(R209)</f>
        <v>31</v>
      </c>
      <c r="S210" s="151"/>
      <c r="T210" s="163">
        <f>(AH211-AH210)</f>
        <v>3.0377110708226667</v>
      </c>
      <c r="U210" s="154">
        <f>(U211+T212)/2</f>
        <v>218.66891139755052</v>
      </c>
      <c r="V210" s="164">
        <f>(W212*V212*U212*V211*W211*T210)</f>
        <v>2365871518016.2529</v>
      </c>
      <c r="W210" s="154">
        <f>(V211*V210*T210)</f>
        <v>3145562735.1217961</v>
      </c>
      <c r="X210" s="163">
        <f>INT(T210+1)</f>
        <v>4</v>
      </c>
      <c r="Y210" s="165">
        <f>(AJ222*-1)</f>
        <v>36.586676435387794</v>
      </c>
      <c r="Z210" s="161"/>
      <c r="AA210" s="152">
        <f>IF(Y210&lt;0,1,-1)</f>
        <v>-1</v>
      </c>
      <c r="AB210" s="161"/>
      <c r="AC210" s="161"/>
      <c r="AD210" s="161"/>
      <c r="AE210" s="161"/>
      <c r="AF210" s="161"/>
      <c r="AG210" s="161">
        <f>(AF209+AH209)/2</f>
        <v>233.80844000828631</v>
      </c>
      <c r="AH210" s="161">
        <f>AG210-T209</f>
        <v>8.5741635384125345</v>
      </c>
      <c r="AI210" s="161">
        <f>(AJ214+AK212)/2</f>
        <v>990.17851091374678</v>
      </c>
      <c r="AJ210" s="162">
        <f>(AJ213*T210*100)</f>
        <v>206.64189243553412</v>
      </c>
      <c r="AK210" s="150">
        <f>INT(AK209)</f>
        <v>31</v>
      </c>
      <c r="AL210" s="151"/>
      <c r="AM210" s="163">
        <f>(BA211-BA210)</f>
        <v>3.0049320809491746</v>
      </c>
      <c r="AN210" s="154">
        <f>(AN211+AM212)/2</f>
        <v>217.80897540676415</v>
      </c>
      <c r="AO210" s="164">
        <f>(AP212*AO212*AN212*AO211*AP211*AM210)</f>
        <v>2014455607433.7283</v>
      </c>
      <c r="AP210" s="154">
        <f>(AO211*AO210*AM210)</f>
        <v>2756592556.9695253</v>
      </c>
      <c r="AQ210" s="163">
        <f>INT(AM210+1)</f>
        <v>4</v>
      </c>
      <c r="AR210" s="165">
        <f>(BC222*-1)</f>
        <v>45.921260447386466</v>
      </c>
      <c r="AS210" s="161"/>
      <c r="AT210" s="152">
        <f>IF(AR210&lt;0,1,-1)</f>
        <v>-1</v>
      </c>
      <c r="AU210" s="161"/>
      <c r="AV210" s="161"/>
      <c r="AW210" s="161"/>
      <c r="AX210" s="161"/>
      <c r="AY210" s="161"/>
      <c r="AZ210" s="161">
        <f>(AY209+BA209)/2</f>
        <v>232.81839025619865</v>
      </c>
      <c r="BA210" s="161">
        <f>AZ210-AM209</f>
        <v>8.5038105258150836</v>
      </c>
      <c r="BB210" s="161">
        <f>(BC214+BD212)/2</f>
        <v>1245.4275745766695</v>
      </c>
      <c r="BC210" s="162">
        <f>(BC213*AM210*100)</f>
        <v>154.43670290601429</v>
      </c>
      <c r="BD210" s="150">
        <f>INT(BD209)</f>
        <v>35</v>
      </c>
      <c r="BE210" s="151"/>
      <c r="BF210" s="163">
        <f>(BT211-BT210)</f>
        <v>3.4246425386531314</v>
      </c>
      <c r="BG210" s="154">
        <f>(BG211+BF212)/2</f>
        <v>217.12091982617665</v>
      </c>
      <c r="BH210" s="164">
        <f>(BI212*BH212*BG212*BH211*BI211*BF210)</f>
        <v>8126129103255.3408</v>
      </c>
      <c r="BI210" s="154">
        <f>(BH211*BH210*BF210)</f>
        <v>9421449426.1457005</v>
      </c>
      <c r="BJ210" s="163">
        <f>INT(BF210+1)</f>
        <v>4</v>
      </c>
      <c r="BK210" s="165">
        <f>(BV222*-1)</f>
        <v>1.2207409032720402</v>
      </c>
      <c r="BL210" s="161"/>
      <c r="BM210" s="152">
        <f>IF(BK210&lt;0,1,-1)</f>
        <v>-1</v>
      </c>
      <c r="BN210" s="161"/>
      <c r="BO210" s="161"/>
      <c r="BP210" s="161"/>
      <c r="BQ210" s="161"/>
      <c r="BR210" s="161"/>
      <c r="BS210" s="161">
        <f>(BR209+BT209)/2</f>
        <v>232.03120199394954</v>
      </c>
      <c r="BT210" s="161">
        <f>BS210-BF209</f>
        <v>8.2278668425220189</v>
      </c>
      <c r="BU210" s="161">
        <f>(BV214+BW212)/2</f>
        <v>1245.4275745766695</v>
      </c>
      <c r="BV210" s="162">
        <f>(BV213*BF210*100)</f>
        <v>-38.471196657796227</v>
      </c>
      <c r="BW210" s="150">
        <f>INT(BW209)</f>
        <v>35</v>
      </c>
      <c r="BX210" s="151"/>
      <c r="BY210" s="797"/>
      <c r="BZ210" s="797"/>
      <c r="CA210" s="797"/>
      <c r="CB210" s="797"/>
      <c r="CC210" s="797"/>
      <c r="CD210" s="797"/>
      <c r="CE210" s="797"/>
      <c r="CF210" s="797"/>
      <c r="CG210" s="797"/>
      <c r="CH210" s="797"/>
      <c r="CI210" s="797"/>
      <c r="CJ210" s="797"/>
      <c r="CK210" s="797"/>
      <c r="CL210" s="797"/>
      <c r="CM210" s="797"/>
      <c r="CN210" s="797"/>
      <c r="CO210" s="797"/>
      <c r="CP210" s="797"/>
      <c r="CQ210" s="797"/>
      <c r="CR210" s="797"/>
      <c r="CS210" s="797"/>
      <c r="CT210" s="797"/>
      <c r="CU210" s="797"/>
    </row>
    <row r="211" spans="1:99" x14ac:dyDescent="0.25">
      <c r="A211" s="163">
        <f>N210</f>
        <v>232.22172142794707</v>
      </c>
      <c r="B211" s="163">
        <f>(N210+N212)/2</f>
        <v>222.2623603868488</v>
      </c>
      <c r="C211" s="154">
        <f>(A210/D212)</f>
        <v>2.6235655773730523E-4</v>
      </c>
      <c r="D211" s="154">
        <f>(A210+B212+C212+D212)</f>
        <v>32830.163016189646</v>
      </c>
      <c r="E211" s="173">
        <f>(E210*C212)</f>
        <v>15246.42659782553</v>
      </c>
      <c r="F211" s="174"/>
      <c r="G211" s="161"/>
      <c r="H211" s="161"/>
      <c r="I211" s="161"/>
      <c r="J211" s="161"/>
      <c r="K211" s="161"/>
      <c r="L211" s="161"/>
      <c r="M211" s="161">
        <f>(N210+N212)/2</f>
        <v>222.2623603868488</v>
      </c>
      <c r="N211" s="161">
        <f>(I209+N210)/2</f>
        <v>181.60090926355394</v>
      </c>
      <c r="O211" s="161">
        <f>A209-N212</f>
        <v>11.862413541667195</v>
      </c>
      <c r="P211" s="161"/>
      <c r="Q211" s="149"/>
      <c r="R211" s="171"/>
      <c r="S211" s="151"/>
      <c r="T211" s="163">
        <f>AG210</f>
        <v>233.80844000828631</v>
      </c>
      <c r="U211" s="163">
        <f>(AG210+AG212)/2</f>
        <v>223.71542093446243</v>
      </c>
      <c r="V211" s="154">
        <f>(T210/W212)</f>
        <v>4.3768406092214171E-4</v>
      </c>
      <c r="W211" s="154">
        <f>(T210+U212+V212+W212)</f>
        <v>16168.630140318455</v>
      </c>
      <c r="X211" s="173">
        <f>(X210*V212)</f>
        <v>9139.0122628010158</v>
      </c>
      <c r="Y211" s="174"/>
      <c r="Z211" s="161"/>
      <c r="AA211" s="161"/>
      <c r="AB211" s="161"/>
      <c r="AC211" s="161"/>
      <c r="AD211" s="161"/>
      <c r="AE211" s="161"/>
      <c r="AF211" s="161">
        <f>(AG210+AG212)/2</f>
        <v>223.71542093446243</v>
      </c>
      <c r="AG211" s="161">
        <f>(AB209+AG210)/2</f>
        <v>182.50387571299083</v>
      </c>
      <c r="AH211" s="161">
        <f>T209-AG212</f>
        <v>11.611874609235201</v>
      </c>
      <c r="AI211" s="161"/>
      <c r="AJ211" s="149"/>
      <c r="AK211" s="171"/>
      <c r="AL211" s="151"/>
      <c r="AM211" s="163">
        <f>AZ210</f>
        <v>232.81839025619865</v>
      </c>
      <c r="AN211" s="163">
        <f>(AZ210+AZ212)/2</f>
        <v>222.81211368990898</v>
      </c>
      <c r="AO211" s="154">
        <f>(AM210/AP212)</f>
        <v>4.5538656906057037E-4</v>
      </c>
      <c r="AP211" s="154">
        <f>(AM210+AN212+AO212+AP212)</f>
        <v>15396.221680566072</v>
      </c>
      <c r="AQ211" s="173">
        <f>(AQ210*AO212)</f>
        <v>8783.746100047947</v>
      </c>
      <c r="AR211" s="174"/>
      <c r="AS211" s="161"/>
      <c r="AT211" s="161"/>
      <c r="AU211" s="161"/>
      <c r="AV211" s="161"/>
      <c r="AW211" s="161"/>
      <c r="AX211" s="161"/>
      <c r="AY211" s="161">
        <f>(AZ210+AZ212)/2</f>
        <v>222.81211368990898</v>
      </c>
      <c r="AZ211" s="161">
        <f>(AU209+AZ210)/2</f>
        <v>181.95411599104</v>
      </c>
      <c r="BA211" s="161">
        <f>AM209-AZ212</f>
        <v>11.508742606764258</v>
      </c>
      <c r="BB211" s="161"/>
      <c r="BC211" s="149"/>
      <c r="BD211" s="171"/>
      <c r="BE211" s="151"/>
      <c r="BF211" s="163">
        <f>BS210</f>
        <v>232.03120199394954</v>
      </c>
      <c r="BG211" s="163">
        <f>(BS210+BS212)/2</f>
        <v>222.09101388210095</v>
      </c>
      <c r="BH211" s="154">
        <f>(BF210/BI212)</f>
        <v>3.3854683375659529E-4</v>
      </c>
      <c r="BI211" s="154">
        <f>(BF210+BG212+BH212+BI212)</f>
        <v>23188.651307365937</v>
      </c>
      <c r="BJ211" s="173">
        <f>(BJ210*BH212)</f>
        <v>11815.204282418061</v>
      </c>
      <c r="BK211" s="174"/>
      <c r="BL211" s="161"/>
      <c r="BM211" s="161"/>
      <c r="BN211" s="161"/>
      <c r="BO211" s="161"/>
      <c r="BP211" s="161"/>
      <c r="BQ211" s="161"/>
      <c r="BR211" s="161">
        <f>(BS210+BS212)/2</f>
        <v>222.09101388210095</v>
      </c>
      <c r="BS211" s="161">
        <f>(BN209+BS210)/2</f>
        <v>181.50564954655516</v>
      </c>
      <c r="BT211" s="161">
        <f>BF209-BS212</f>
        <v>11.65250938117515</v>
      </c>
      <c r="BU211" s="161"/>
      <c r="BV211" s="149"/>
      <c r="BW211" s="171"/>
      <c r="BX211" s="151"/>
      <c r="BY211" s="797"/>
      <c r="BZ211" s="797"/>
      <c r="CA211" s="797"/>
      <c r="CB211" s="797"/>
      <c r="CC211" s="797"/>
      <c r="CD211" s="797"/>
      <c r="CE211" s="797"/>
      <c r="CF211" s="797"/>
      <c r="CG211" s="797"/>
      <c r="CH211" s="797"/>
      <c r="CI211" s="797"/>
      <c r="CJ211" s="797"/>
      <c r="CK211" s="797"/>
      <c r="CL211" s="797"/>
      <c r="CM211" s="797"/>
      <c r="CN211" s="797"/>
      <c r="CO211" s="797"/>
      <c r="CP211" s="797"/>
      <c r="CQ211" s="797"/>
      <c r="CR211" s="797"/>
      <c r="CS211" s="797"/>
      <c r="CT211" s="797"/>
      <c r="CU211" s="797"/>
    </row>
    <row r="212" spans="1:99" x14ac:dyDescent="0.25">
      <c r="A212" s="277">
        <f>N212</f>
        <v>212.30299934575049</v>
      </c>
      <c r="B212" s="154">
        <f>G218</f>
        <v>14507.375130866063</v>
      </c>
      <c r="C212" s="154">
        <f>(B212/A210)</f>
        <v>3811.6066494563825</v>
      </c>
      <c r="D212" s="154">
        <f>(A210*C212)</f>
        <v>14507.375130866063</v>
      </c>
      <c r="E212" s="163">
        <f>INT(A210)+1</f>
        <v>4</v>
      </c>
      <c r="F212" s="174">
        <f>(Q222)</f>
        <v>-512.90872262914922</v>
      </c>
      <c r="G212" s="161"/>
      <c r="H212" s="152">
        <f>IF(F210&gt;0,-1,1)</f>
        <v>-1</v>
      </c>
      <c r="I212" s="161"/>
      <c r="J212" s="161"/>
      <c r="K212" s="161"/>
      <c r="L212" s="161"/>
      <c r="M212" s="161">
        <f>(N211+P209*2)</f>
        <v>192.38427726355394</v>
      </c>
      <c r="N212" s="161">
        <f>(N210+M212)/2</f>
        <v>212.30299934575049</v>
      </c>
      <c r="O212" s="161">
        <f>(N211+J209)/2</f>
        <v>374.97325463177702</v>
      </c>
      <c r="P212" s="152">
        <f>IF(Q222&gt;1,-1,1)</f>
        <v>1</v>
      </c>
      <c r="Q212" s="162">
        <f>F220-F217</f>
        <v>-2.3938104057014167</v>
      </c>
      <c r="R212" s="150">
        <f>R210^2</f>
        <v>961</v>
      </c>
      <c r="S212" s="151"/>
      <c r="T212" s="277">
        <f>AG212</f>
        <v>213.62240186063858</v>
      </c>
      <c r="U212" s="154">
        <f>Z218</f>
        <v>6940.4196817736893</v>
      </c>
      <c r="V212" s="154">
        <f>(U212/T210)</f>
        <v>2284.753065700254</v>
      </c>
      <c r="W212" s="154">
        <f>(T210*V212)</f>
        <v>6940.4196817736893</v>
      </c>
      <c r="X212" s="163">
        <f>INT(T210)+1</f>
        <v>4</v>
      </c>
      <c r="Y212" s="174">
        <f>(AJ222)</f>
        <v>-36.586676435387794</v>
      </c>
      <c r="Z212" s="161"/>
      <c r="AA212" s="152">
        <f>IF(Y210&gt;0,-1,1)</f>
        <v>-1</v>
      </c>
      <c r="AB212" s="161"/>
      <c r="AC212" s="161"/>
      <c r="AD212" s="161"/>
      <c r="AE212" s="161"/>
      <c r="AF212" s="161">
        <f>(AG211+AI209*2)</f>
        <v>193.43636371299084</v>
      </c>
      <c r="AG212" s="161">
        <f>(AG210+AF212)/2</f>
        <v>213.62240186063858</v>
      </c>
      <c r="AH212" s="161">
        <f>(AG211+AC209)/2</f>
        <v>379.25193785649543</v>
      </c>
      <c r="AI212" s="152">
        <f>IF(AJ222&gt;1,-1,1)</f>
        <v>1</v>
      </c>
      <c r="AJ212" s="162">
        <f>Y220-Y217</f>
        <v>-2.3625451765415093</v>
      </c>
      <c r="AK212" s="150">
        <f>AK210^2</f>
        <v>961</v>
      </c>
      <c r="AL212" s="151"/>
      <c r="AM212" s="277">
        <f>AZ212</f>
        <v>212.80583712361931</v>
      </c>
      <c r="AN212" s="154">
        <f>AS218</f>
        <v>6598.6401117365685</v>
      </c>
      <c r="AO212" s="154">
        <f>(AN212/AM210)</f>
        <v>2195.9365250119868</v>
      </c>
      <c r="AP212" s="154">
        <f>(AM210*AO212)</f>
        <v>6598.6401117365685</v>
      </c>
      <c r="AQ212" s="163">
        <f>INT(AM210)+1</f>
        <v>4</v>
      </c>
      <c r="AR212" s="174">
        <f>(BC222)</f>
        <v>-45.921260447386466</v>
      </c>
      <c r="AS212" s="161"/>
      <c r="AT212" s="152">
        <f>IF(AR210&gt;0,-1,1)</f>
        <v>-1</v>
      </c>
      <c r="AU212" s="161"/>
      <c r="AV212" s="161"/>
      <c r="AW212" s="161"/>
      <c r="AX212" s="161"/>
      <c r="AY212" s="161">
        <f>(AZ211+BB209*2)</f>
        <v>192.79328399104</v>
      </c>
      <c r="AZ212" s="161">
        <f>(AZ210+AY212)/2</f>
        <v>212.80583712361931</v>
      </c>
      <c r="BA212" s="161">
        <f>(AZ211+AV209)/2</f>
        <v>377.06025799551998</v>
      </c>
      <c r="BB212" s="152">
        <f>IF(BC222&gt;1,-1,1)</f>
        <v>1</v>
      </c>
      <c r="BC212" s="162">
        <f>AR220-AR217</f>
        <v>-2.3948303459071685</v>
      </c>
      <c r="BD212" s="150">
        <f>BD210^2</f>
        <v>1225</v>
      </c>
      <c r="BE212" s="151"/>
      <c r="BF212" s="277">
        <f>BS212</f>
        <v>212.15082577025237</v>
      </c>
      <c r="BG212" s="154">
        <f>BL218</f>
        <v>10115.712797111384</v>
      </c>
      <c r="BH212" s="154">
        <f>(BG212/BF210)</f>
        <v>2953.8010706045152</v>
      </c>
      <c r="BI212" s="154">
        <f>(BF210*BH212)</f>
        <v>10115.712797111384</v>
      </c>
      <c r="BJ212" s="163">
        <f>INT(BF210)+1</f>
        <v>4</v>
      </c>
      <c r="BK212" s="174">
        <f>(BV222)</f>
        <v>-1.2207409032720402</v>
      </c>
      <c r="BL212" s="161"/>
      <c r="BM212" s="152">
        <f>IF(BK210&gt;0,-1,1)</f>
        <v>-1</v>
      </c>
      <c r="BN212" s="161"/>
      <c r="BO212" s="161"/>
      <c r="BP212" s="161"/>
      <c r="BQ212" s="161"/>
      <c r="BR212" s="161">
        <f>(BS211+BU209*2)</f>
        <v>192.27044954655517</v>
      </c>
      <c r="BS212" s="161">
        <f>(BS210+BR212)/2</f>
        <v>212.15082577025237</v>
      </c>
      <c r="BT212" s="161">
        <f>(BS211+BO209)/2</f>
        <v>374.9256247732776</v>
      </c>
      <c r="BU212" s="152">
        <f>IF(BV222&gt;1,-1,1)</f>
        <v>1</v>
      </c>
      <c r="BV212" s="162">
        <f>BK220-BK217</f>
        <v>-2.9477997036422199</v>
      </c>
      <c r="BW212" s="150">
        <f>BW210^2</f>
        <v>1225</v>
      </c>
      <c r="BX212" s="151"/>
      <c r="BY212" s="797"/>
      <c r="BZ212" s="797"/>
      <c r="CA212" s="797"/>
      <c r="CB212" s="797"/>
      <c r="CC212" s="797"/>
      <c r="CD212" s="797"/>
      <c r="CE212" s="797"/>
      <c r="CF212" s="797"/>
      <c r="CG212" s="797"/>
      <c r="CH212" s="797"/>
      <c r="CI212" s="797"/>
      <c r="CJ212" s="797"/>
      <c r="CK212" s="797"/>
      <c r="CL212" s="797"/>
      <c r="CM212" s="797"/>
      <c r="CN212" s="797"/>
      <c r="CO212" s="797"/>
      <c r="CP212" s="797"/>
      <c r="CQ212" s="797"/>
      <c r="CR212" s="797"/>
      <c r="CS212" s="797"/>
      <c r="CT212" s="797"/>
      <c r="CU212" s="797"/>
    </row>
    <row r="213" spans="1:99" x14ac:dyDescent="0.25">
      <c r="A213" s="277">
        <f>(O211+O210)+A209</f>
        <v>244.08413496961427</v>
      </c>
      <c r="B213" s="154">
        <f>(A211+B211)/2</f>
        <v>227.24204090739795</v>
      </c>
      <c r="C213" s="163">
        <f>(C211)</f>
        <v>2.6235655773730523E-4</v>
      </c>
      <c r="D213" s="154">
        <f>(D210*D211*D212*B212*A210)</f>
        <v>6.9061445285899058E+23</v>
      </c>
      <c r="E213" s="154">
        <f>(C213*A210)</f>
        <v>9.9855660648525768E-4</v>
      </c>
      <c r="F213" s="161">
        <f>(F215/O215)*O216-F216</f>
        <v>-510.03560994369332</v>
      </c>
      <c r="G213" s="161"/>
      <c r="H213" s="161"/>
      <c r="I213" s="161"/>
      <c r="J213" s="161"/>
      <c r="K213" s="161"/>
      <c r="L213" s="161"/>
      <c r="M213" s="161"/>
      <c r="N213" s="154">
        <f>(F213+Q222)*F216</f>
        <v>-524677.07094066427</v>
      </c>
      <c r="O213" s="152">
        <f>H212</f>
        <v>-1</v>
      </c>
      <c r="P213" s="152">
        <f>IF(Q222&lt;100,1,-1)</f>
        <v>1</v>
      </c>
      <c r="Q213" s="162">
        <f>Q212+F220</f>
        <v>1.4872503566859239</v>
      </c>
      <c r="R213" s="171"/>
      <c r="S213" s="151"/>
      <c r="T213" s="277">
        <f>(AH211+AH210)+T209</f>
        <v>245.42031461752151</v>
      </c>
      <c r="U213" s="154">
        <f>(T211+U211)/2</f>
        <v>228.76193047137437</v>
      </c>
      <c r="V213" s="163">
        <f>(V211)</f>
        <v>4.3768406092214171E-4</v>
      </c>
      <c r="W213" s="154">
        <f>(W210*W211*W212*U212*T210)</f>
        <v>7.4419972831579598E+21</v>
      </c>
      <c r="X213" s="154">
        <f>(V213*T210)</f>
        <v>1.3295577173858123E-3</v>
      </c>
      <c r="Y213" s="161">
        <f>(Y215/AH215)*AH216-Y216</f>
        <v>-35.661482546196552</v>
      </c>
      <c r="Z213" s="161"/>
      <c r="AA213" s="161"/>
      <c r="AB213" s="161"/>
      <c r="AC213" s="161"/>
      <c r="AD213" s="161"/>
      <c r="AE213" s="161"/>
      <c r="AF213" s="161"/>
      <c r="AG213" s="154">
        <f>(Y213+AJ222)*Y216</f>
        <v>-2643.3200157116826</v>
      </c>
      <c r="AH213" s="152">
        <f>AA212</f>
        <v>-1</v>
      </c>
      <c r="AI213" s="152">
        <f>IF(AJ222&lt;100,1,-1)</f>
        <v>1</v>
      </c>
      <c r="AJ213" s="162">
        <f>AJ212+Y220</f>
        <v>0.68025525673042964</v>
      </c>
      <c r="AK213" s="171"/>
      <c r="AL213" s="151"/>
      <c r="AM213" s="277">
        <f>(BA211+BA210)+AM209</f>
        <v>244.32713286296291</v>
      </c>
      <c r="AN213" s="154">
        <f>(AM211+AN211)/2</f>
        <v>227.81525197305382</v>
      </c>
      <c r="AO213" s="163">
        <f>(AO211)</f>
        <v>4.5538656906057037E-4</v>
      </c>
      <c r="AP213" s="154">
        <f>(AP210*AP211*AP212*AN212*AM210)</f>
        <v>5.5530333337973403E+21</v>
      </c>
      <c r="AQ213" s="154">
        <f>(AO213*AM210)</f>
        <v>1.3684057106034847E-3</v>
      </c>
      <c r="AR213" s="161">
        <f>(AR215/BA215)*BA216-AR216</f>
        <v>-43.892882878483746</v>
      </c>
      <c r="AS213" s="161"/>
      <c r="AT213" s="161"/>
      <c r="AU213" s="161"/>
      <c r="AV213" s="161"/>
      <c r="AW213" s="161"/>
      <c r="AX213" s="161"/>
      <c r="AY213" s="161"/>
      <c r="AZ213" s="154">
        <f>(AR213+BC222)*AR216</f>
        <v>-4124.3786675261836</v>
      </c>
      <c r="BA213" s="152">
        <f>AT212</f>
        <v>-1</v>
      </c>
      <c r="BB213" s="152">
        <f>IF(BC222&lt;100,1,-1)</f>
        <v>1</v>
      </c>
      <c r="BC213" s="162">
        <f>BC212+AR220</f>
        <v>0.51394407176494994</v>
      </c>
      <c r="BD213" s="171"/>
      <c r="BE213" s="151"/>
      <c r="BF213" s="277">
        <f>(BT211+BT210)+BF209</f>
        <v>243.68371137512469</v>
      </c>
      <c r="BG213" s="154">
        <f>(BF211+BG211)/2</f>
        <v>227.06110793802526</v>
      </c>
      <c r="BH213" s="163">
        <f>(BH211)</f>
        <v>3.3854683375659529E-4</v>
      </c>
      <c r="BI213" s="154">
        <f>(BI210*BI211*BI212*BG212*BF210)</f>
        <v>7.6559914376650922E+22</v>
      </c>
      <c r="BJ213" s="154">
        <f>(BH213*BF210)</f>
        <v>1.1594018882091662E-3</v>
      </c>
      <c r="BK213" s="161">
        <f>(BK215/BT215)*BT216-BK216</f>
        <v>0.30481239674148886</v>
      </c>
      <c r="BL213" s="161"/>
      <c r="BM213" s="161"/>
      <c r="BN213" s="161"/>
      <c r="BO213" s="161"/>
      <c r="BP213" s="161"/>
      <c r="BQ213" s="161"/>
      <c r="BR213" s="161"/>
      <c r="BS213" s="154">
        <f>(BK213+BV222)*BK216</f>
        <v>-1.1181113923947161</v>
      </c>
      <c r="BT213" s="152">
        <f>BM212</f>
        <v>-1</v>
      </c>
      <c r="BU213" s="152">
        <f>IF(BV222&lt;100,1,-1)</f>
        <v>1</v>
      </c>
      <c r="BV213" s="162">
        <f>BV212+BK220</f>
        <v>-0.1123363861295914</v>
      </c>
      <c r="BW213" s="171"/>
      <c r="BX213" s="151"/>
      <c r="BY213" s="797"/>
      <c r="BZ213" s="797"/>
      <c r="CA213" s="797"/>
      <c r="CB213" s="797"/>
      <c r="CC213" s="797"/>
      <c r="CD213" s="797"/>
      <c r="CE213" s="797"/>
      <c r="CF213" s="797"/>
      <c r="CG213" s="797"/>
      <c r="CH213" s="797"/>
      <c r="CI213" s="797"/>
      <c r="CJ213" s="797"/>
      <c r="CK213" s="797"/>
      <c r="CL213" s="797"/>
      <c r="CM213" s="797"/>
      <c r="CN213" s="797"/>
      <c r="CO213" s="797"/>
      <c r="CP213" s="797"/>
      <c r="CQ213" s="797"/>
      <c r="CR213" s="797"/>
      <c r="CS213" s="797"/>
      <c r="CT213" s="797"/>
      <c r="CU213" s="797"/>
    </row>
    <row r="214" spans="1:99" x14ac:dyDescent="0.25">
      <c r="A214" s="277">
        <f>(O211*-1-O210)+A209</f>
        <v>204.24669080522111</v>
      </c>
      <c r="B214" s="154">
        <f>(B211+B210)/2</f>
        <v>219.77252012657422</v>
      </c>
      <c r="C214" s="154">
        <f>(B210+A212)/2</f>
        <v>214.79283960602507</v>
      </c>
      <c r="D214" s="154">
        <f>D210</f>
        <v>26260571670.025513</v>
      </c>
      <c r="E214" s="154">
        <f>(B211+A209)/2</f>
        <v>223.21388663713324</v>
      </c>
      <c r="F214" s="161">
        <f>(F216/O216)</f>
        <v>357.06439624434313</v>
      </c>
      <c r="G214" s="161"/>
      <c r="H214" s="161"/>
      <c r="I214" s="161"/>
      <c r="J214" s="161"/>
      <c r="K214" s="161"/>
      <c r="L214" s="161"/>
      <c r="M214" s="161"/>
      <c r="N214" s="161"/>
      <c r="O214" s="152">
        <f>H210</f>
        <v>-1</v>
      </c>
      <c r="P214" s="152">
        <f>IF(Q222&lt;0,-1,1)</f>
        <v>-1</v>
      </c>
      <c r="Q214" s="174">
        <f>Q191</f>
        <v>1019.3570218274934</v>
      </c>
      <c r="R214" s="171"/>
      <c r="S214" s="151"/>
      <c r="T214" s="277">
        <f>(AH211*-1-AH210)+T209</f>
        <v>205.04823832222604</v>
      </c>
      <c r="U214" s="154">
        <f>(U211+U210)/2</f>
        <v>221.19216616600647</v>
      </c>
      <c r="V214" s="154">
        <f>(U210+T212)/2</f>
        <v>216.14565662909456</v>
      </c>
      <c r="W214" s="154">
        <f>W210</f>
        <v>3145562735.1217961</v>
      </c>
      <c r="X214" s="154">
        <f>(U211+T209)/2</f>
        <v>224.47484870216812</v>
      </c>
      <c r="Y214" s="161">
        <f>(Y216/AH216)</f>
        <v>46.205041259189493</v>
      </c>
      <c r="Z214" s="161"/>
      <c r="AA214" s="161"/>
      <c r="AB214" s="161"/>
      <c r="AC214" s="161"/>
      <c r="AD214" s="161"/>
      <c r="AE214" s="161"/>
      <c r="AF214" s="161"/>
      <c r="AG214" s="161"/>
      <c r="AH214" s="152">
        <f>AA210</f>
        <v>-1</v>
      </c>
      <c r="AI214" s="152">
        <f>IF(AJ222&lt;0,-1,1)</f>
        <v>-1</v>
      </c>
      <c r="AJ214" s="174">
        <f>AJ191</f>
        <v>1019.3570218274934</v>
      </c>
      <c r="AK214" s="171"/>
      <c r="AL214" s="151"/>
      <c r="AM214" s="277">
        <f>(BA211*-1-BA210)+AM209</f>
        <v>204.30202659780423</v>
      </c>
      <c r="AN214" s="154">
        <f>(AN211+AN210)/2</f>
        <v>220.31054454833657</v>
      </c>
      <c r="AO214" s="154">
        <f>(AN210+AM212)/2</f>
        <v>215.30740626519173</v>
      </c>
      <c r="AP214" s="154">
        <f>AP210</f>
        <v>2756592556.9695253</v>
      </c>
      <c r="AQ214" s="154">
        <f>(AN211+AM209)/2</f>
        <v>223.56334671014628</v>
      </c>
      <c r="AR214" s="161">
        <f>(AR216/BA216)</f>
        <v>25.41720288226405</v>
      </c>
      <c r="AS214" s="161"/>
      <c r="AT214" s="161"/>
      <c r="AU214" s="161"/>
      <c r="AV214" s="161"/>
      <c r="AW214" s="161"/>
      <c r="AX214" s="161"/>
      <c r="AY214" s="161"/>
      <c r="AZ214" s="161"/>
      <c r="BA214" s="152">
        <f>AT210</f>
        <v>-1</v>
      </c>
      <c r="BB214" s="152">
        <f>IF(BC222&lt;0,-1,1)</f>
        <v>-1</v>
      </c>
      <c r="BC214" s="174">
        <f>BC191</f>
        <v>1265.8551491533392</v>
      </c>
      <c r="BD214" s="171"/>
      <c r="BE214" s="151"/>
      <c r="BF214" s="277">
        <f>(BT211*-1-BT210)+BF209</f>
        <v>203.92295892773035</v>
      </c>
      <c r="BG214" s="154">
        <f>(BG211+BG210)/2</f>
        <v>219.60596685413879</v>
      </c>
      <c r="BH214" s="154">
        <f>(BG210+BF212)/2</f>
        <v>214.63587279821451</v>
      </c>
      <c r="BI214" s="154">
        <f>BI210</f>
        <v>9421449426.1457005</v>
      </c>
      <c r="BJ214" s="154">
        <f>(BG211+BF209)/2</f>
        <v>222.94717451676422</v>
      </c>
      <c r="BK214" s="161">
        <f>(BK216/BT216)</f>
        <v>1.2257542381058932</v>
      </c>
      <c r="BL214" s="161"/>
      <c r="BM214" s="161"/>
      <c r="BN214" s="161"/>
      <c r="BO214" s="161"/>
      <c r="BP214" s="161"/>
      <c r="BQ214" s="161"/>
      <c r="BR214" s="161"/>
      <c r="BS214" s="161"/>
      <c r="BT214" s="152">
        <f>BM210</f>
        <v>-1</v>
      </c>
      <c r="BU214" s="152">
        <f>IF(BV222&lt;0,-1,1)</f>
        <v>-1</v>
      </c>
      <c r="BV214" s="174">
        <f>BV191</f>
        <v>1265.8551491533392</v>
      </c>
      <c r="BW214" s="171"/>
      <c r="BX214" s="151"/>
      <c r="BY214" s="797"/>
      <c r="BZ214" s="797"/>
      <c r="CA214" s="797"/>
      <c r="CB214" s="797"/>
      <c r="CC214" s="797"/>
      <c r="CD214" s="797"/>
      <c r="CE214" s="797"/>
      <c r="CF214" s="797"/>
      <c r="CG214" s="797"/>
      <c r="CH214" s="797"/>
      <c r="CI214" s="797"/>
      <c r="CJ214" s="797"/>
      <c r="CK214" s="797"/>
      <c r="CL214" s="797"/>
      <c r="CM214" s="797"/>
      <c r="CN214" s="797"/>
      <c r="CO214" s="797"/>
      <c r="CP214" s="797"/>
      <c r="CQ214" s="797"/>
      <c r="CR214" s="797"/>
      <c r="CS214" s="797"/>
      <c r="CT214" s="797"/>
      <c r="CU214" s="797"/>
    </row>
    <row r="215" spans="1:99" x14ac:dyDescent="0.25">
      <c r="A215" s="163">
        <f>(A214-A213)+A209-A211</f>
        <v>-47.893752704922548</v>
      </c>
      <c r="B215" s="163">
        <f>(A215*-1)+A216</f>
        <v>19.918722082196581</v>
      </c>
      <c r="C215" s="163">
        <f>(B215/2)+A210</f>
        <v>13.765466042236099</v>
      </c>
      <c r="D215" s="163">
        <f>(C223+C216+B222+B215+A210)*-1</f>
        <v>7.87866912522788</v>
      </c>
      <c r="E215" s="163">
        <f>(C215*A210)*D215</f>
        <v>412.78560780528488</v>
      </c>
      <c r="F215" s="152">
        <f>(E215*A210)</f>
        <v>1571.1053662654049</v>
      </c>
      <c r="G215" s="152">
        <f>(F215+E215)</f>
        <v>1983.8909740706897</v>
      </c>
      <c r="H215" s="161"/>
      <c r="I215" s="161"/>
      <c r="J215" s="161"/>
      <c r="K215" s="161"/>
      <c r="L215" s="161"/>
      <c r="M215" s="161"/>
      <c r="N215" s="161"/>
      <c r="O215" s="161">
        <v>785.5</v>
      </c>
      <c r="P215" s="152">
        <f>IF(N213&gt;-1,1,-1)</f>
        <v>-1</v>
      </c>
      <c r="Q215" s="149">
        <f>Q192</f>
        <v>0.32600000000000001</v>
      </c>
      <c r="R215" s="171"/>
      <c r="S215" s="151"/>
      <c r="T215" s="163">
        <f>(T214-T213)+T209-T211</f>
        <v>-48.946239833708006</v>
      </c>
      <c r="U215" s="163">
        <f>(T215*-1)+T216</f>
        <v>20.186038147647736</v>
      </c>
      <c r="V215" s="163">
        <f>(U215/2)+T210</f>
        <v>13.130730144646535</v>
      </c>
      <c r="W215" s="163">
        <f>(V223+V216+U222+U215+T210)*-1</f>
        <v>7.5746669797056541</v>
      </c>
      <c r="X215" s="163">
        <f>(V215*T210)*W215</f>
        <v>302.13350148565172</v>
      </c>
      <c r="Y215" s="152">
        <f>(X215*T210)</f>
        <v>917.79428232938085</v>
      </c>
      <c r="Z215" s="152">
        <f>(Y215+X215)</f>
        <v>1219.9277838150326</v>
      </c>
      <c r="AA215" s="161"/>
      <c r="AB215" s="161"/>
      <c r="AC215" s="161"/>
      <c r="AD215" s="161"/>
      <c r="AE215" s="161"/>
      <c r="AF215" s="161"/>
      <c r="AG215" s="161"/>
      <c r="AH215" s="161">
        <v>785.5</v>
      </c>
      <c r="AI215" s="152">
        <f>IF(AG213&gt;-1,1,-1)</f>
        <v>-1</v>
      </c>
      <c r="AJ215" s="149">
        <f>AJ192</f>
        <v>0.1797</v>
      </c>
      <c r="AK215" s="171"/>
      <c r="AL215" s="151"/>
      <c r="AM215" s="163">
        <f>(AM214-AM213)+AM209-AM211</f>
        <v>-48.528916790973767</v>
      </c>
      <c r="AN215" s="163">
        <f>(AM215*-1)+AM216</f>
        <v>20.012553132579342</v>
      </c>
      <c r="AO215" s="163">
        <f>(AN215/2)+AM210</f>
        <v>13.011208647238846</v>
      </c>
      <c r="AP215" s="163">
        <f>(AO223+AO216+AN222+AN215+AM210)*-1</f>
        <v>7.5062319802483906</v>
      </c>
      <c r="AQ215" s="163">
        <f>(AO215*AM210)*AP215</f>
        <v>293.47714377669655</v>
      </c>
      <c r="AR215" s="152">
        <f>(AQ215*AM210)</f>
        <v>881.87888435992886</v>
      </c>
      <c r="AS215" s="152">
        <f>(AR215+AQ215)</f>
        <v>1175.3560281366254</v>
      </c>
      <c r="AT215" s="161"/>
      <c r="AU215" s="161"/>
      <c r="AV215" s="161"/>
      <c r="AW215" s="161"/>
      <c r="AX215" s="161"/>
      <c r="AY215" s="161"/>
      <c r="AZ215" s="161"/>
      <c r="BA215" s="161">
        <v>785.5</v>
      </c>
      <c r="BB215" s="152">
        <f>IF(AZ213&gt;-1,1,-1)</f>
        <v>-1</v>
      </c>
      <c r="BC215" s="149">
        <f>BC192</f>
        <v>0.32600000000000001</v>
      </c>
      <c r="BD215" s="171"/>
      <c r="BE215" s="151"/>
      <c r="BF215" s="163">
        <f>(BF214-BF213)+BF209-BF211</f>
        <v>-47.988619289916358</v>
      </c>
      <c r="BG215" s="163">
        <f>(BF215*-1)+BF216</f>
        <v>19.880376223697169</v>
      </c>
      <c r="BH215" s="163">
        <f>(BG215/2)+BF210</f>
        <v>13.364830650501716</v>
      </c>
      <c r="BI215" s="163">
        <f>(BH223+BH216+BG222+BG215+BF210)*-1</f>
        <v>7.6764341364357165</v>
      </c>
      <c r="BJ215" s="163">
        <f>(BH215*BF210)*BI215</f>
        <v>351.3486061726789</v>
      </c>
      <c r="BK215" s="152">
        <f>(BJ215*BF210)</f>
        <v>1203.2433825954424</v>
      </c>
      <c r="BL215" s="152">
        <f>(BK215+BJ215)</f>
        <v>1554.5919887681214</v>
      </c>
      <c r="BM215" s="161"/>
      <c r="BN215" s="161"/>
      <c r="BO215" s="161"/>
      <c r="BP215" s="161"/>
      <c r="BQ215" s="161"/>
      <c r="BR215" s="161"/>
      <c r="BS215" s="161"/>
      <c r="BT215" s="161">
        <v>785.5</v>
      </c>
      <c r="BU215" s="152">
        <f>IF(BS213&gt;-1,1,-1)</f>
        <v>-1</v>
      </c>
      <c r="BV215" s="149">
        <f>BV192</f>
        <v>0.1797</v>
      </c>
      <c r="BW215" s="171"/>
      <c r="BX215" s="151"/>
      <c r="BY215" s="797"/>
      <c r="BZ215" s="797"/>
      <c r="CA215" s="797"/>
      <c r="CB215" s="797"/>
      <c r="CC215" s="797"/>
      <c r="CD215" s="797"/>
      <c r="CE215" s="797"/>
      <c r="CF215" s="797"/>
      <c r="CG215" s="797"/>
      <c r="CH215" s="797"/>
      <c r="CI215" s="797"/>
      <c r="CJ215" s="797"/>
      <c r="CK215" s="797"/>
      <c r="CL215" s="797"/>
      <c r="CM215" s="797"/>
      <c r="CN215" s="797"/>
      <c r="CO215" s="797"/>
      <c r="CP215" s="797"/>
      <c r="CQ215" s="797"/>
      <c r="CR215" s="797"/>
      <c r="CS215" s="797"/>
      <c r="CT215" s="797"/>
      <c r="CU215" s="797"/>
    </row>
    <row r="216" spans="1:99" x14ac:dyDescent="0.25">
      <c r="A216" s="163">
        <f>(A214-A213)+A209-A212</f>
        <v>-27.975030622725967</v>
      </c>
      <c r="B216" s="163">
        <f>A217+(A216*-1)+A215</f>
        <v>-95.787505409845096</v>
      </c>
      <c r="C216" s="154">
        <f>(B216/10)</f>
        <v>-9.57875054098451</v>
      </c>
      <c r="D216" s="154"/>
      <c r="E216" s="154"/>
      <c r="F216" s="161">
        <f>(Q222*-1)</f>
        <v>512.90872262914922</v>
      </c>
      <c r="G216" s="161"/>
      <c r="H216" s="161"/>
      <c r="I216" s="161"/>
      <c r="J216" s="161"/>
      <c r="K216" s="161"/>
      <c r="L216" s="161"/>
      <c r="M216" s="161"/>
      <c r="N216" s="161"/>
      <c r="O216" s="161">
        <f>(H224/1000)*8.9</f>
        <v>1.4364600000000003</v>
      </c>
      <c r="P216" s="152">
        <f>(P218+O220)/2</f>
        <v>965.27528832781945</v>
      </c>
      <c r="Q216" s="149">
        <f>H224/(Q223*1000)</f>
        <v>0.11208333333333334</v>
      </c>
      <c r="R216" s="171"/>
      <c r="S216" s="151"/>
      <c r="T216" s="163">
        <f>(T214-T213)+T209-T212</f>
        <v>-28.76020168606027</v>
      </c>
      <c r="U216" s="163">
        <f>T217+(T216*-1)+T215</f>
        <v>-97.892479667416012</v>
      </c>
      <c r="V216" s="154">
        <f>(U216/10)</f>
        <v>-9.7892479667416019</v>
      </c>
      <c r="W216" s="154"/>
      <c r="X216" s="154"/>
      <c r="Y216" s="161">
        <f>(AJ222*-1)</f>
        <v>36.586676435387794</v>
      </c>
      <c r="Z216" s="161"/>
      <c r="AA216" s="161"/>
      <c r="AB216" s="161"/>
      <c r="AC216" s="161"/>
      <c r="AD216" s="161"/>
      <c r="AE216" s="161"/>
      <c r="AF216" s="161"/>
      <c r="AG216" s="161"/>
      <c r="AH216" s="161">
        <f>(AA224/1000)*8.9</f>
        <v>0.79183300000000001</v>
      </c>
      <c r="AI216" s="152">
        <f>(AI218+AH220)/2</f>
        <v>966.86213487815814</v>
      </c>
      <c r="AJ216" s="149">
        <f>AA224/(AJ223*1000)</f>
        <v>0.11262025316455695</v>
      </c>
      <c r="AK216" s="171"/>
      <c r="AL216" s="151"/>
      <c r="AM216" s="163">
        <f>(AM214-AM213)+AM209-AM212</f>
        <v>-28.516363658394425</v>
      </c>
      <c r="AN216" s="163">
        <f>AM217+(AM216*-1)+AM215</f>
        <v>-97.057833581947534</v>
      </c>
      <c r="AO216" s="154">
        <f>(AN216/10)</f>
        <v>-9.7057833581947541</v>
      </c>
      <c r="AP216" s="154"/>
      <c r="AQ216" s="154"/>
      <c r="AR216" s="161">
        <f>(BC222*-1)</f>
        <v>45.921260447386466</v>
      </c>
      <c r="AS216" s="161"/>
      <c r="AT216" s="161"/>
      <c r="AU216" s="161"/>
      <c r="AV216" s="161"/>
      <c r="AW216" s="161"/>
      <c r="AX216" s="161"/>
      <c r="AY216" s="161"/>
      <c r="AZ216" s="161"/>
      <c r="BA216" s="161">
        <f>(AT224/1000)*8.9</f>
        <v>1.8067000000000002</v>
      </c>
      <c r="BB216" s="152">
        <f>(BB218+BA220)/2</f>
        <v>1216.2520415931476</v>
      </c>
      <c r="BC216" s="149">
        <f>AT224/(BC223*1000)</f>
        <v>0.11215469613259668</v>
      </c>
      <c r="BD216" s="171"/>
      <c r="BE216" s="151"/>
      <c r="BF216" s="163">
        <f>(BF214-BF213)+BF209-BF212</f>
        <v>-28.108243066219188</v>
      </c>
      <c r="BG216" s="163">
        <f>BF217+(BF216*-1)+BF215</f>
        <v>-95.977238579832715</v>
      </c>
      <c r="BH216" s="154">
        <f>(BG216/10)</f>
        <v>-9.5977238579832722</v>
      </c>
      <c r="BI216" s="154"/>
      <c r="BJ216" s="154"/>
      <c r="BK216" s="161">
        <f>(BV222*-1)</f>
        <v>1.2207409032720402</v>
      </c>
      <c r="BL216" s="161"/>
      <c r="BM216" s="161"/>
      <c r="BN216" s="161"/>
      <c r="BO216" s="161"/>
      <c r="BP216" s="161"/>
      <c r="BQ216" s="161"/>
      <c r="BR216" s="161"/>
      <c r="BS216" s="161"/>
      <c r="BT216" s="161">
        <f>(BM224/1000)*8.9</f>
        <v>0.99591000000000007</v>
      </c>
      <c r="BU216" s="152">
        <f>(BU218+BT220)/2</f>
        <v>1215.1554999452294</v>
      </c>
      <c r="BV216" s="149">
        <f>BM224/(BV223*1000)</f>
        <v>0.1119</v>
      </c>
      <c r="BW216" s="171"/>
      <c r="BX216" s="151"/>
      <c r="BY216" s="797"/>
      <c r="BZ216" s="797"/>
      <c r="CA216" s="797"/>
      <c r="CB216" s="797"/>
      <c r="CC216" s="797"/>
      <c r="CD216" s="797"/>
      <c r="CE216" s="797"/>
      <c r="CF216" s="797"/>
      <c r="CG216" s="797"/>
      <c r="CH216" s="797"/>
      <c r="CI216" s="797"/>
      <c r="CJ216" s="797"/>
      <c r="CK216" s="797"/>
      <c r="CL216" s="797"/>
      <c r="CM216" s="797"/>
      <c r="CN216" s="797"/>
      <c r="CO216" s="797"/>
      <c r="CP216" s="797"/>
      <c r="CQ216" s="797"/>
      <c r="CR216" s="797"/>
      <c r="CS216" s="797"/>
      <c r="CT216" s="797"/>
      <c r="CU216" s="797"/>
    </row>
    <row r="217" spans="1:99" x14ac:dyDescent="0.25">
      <c r="A217" s="163">
        <f>(A216+A215)</f>
        <v>-75.868783327648515</v>
      </c>
      <c r="B217" s="154"/>
      <c r="C217" s="154">
        <f>((F217+E217*-1)+E221)*10-A210+O217*-1-C213*111</f>
        <v>9.8300356311122581</v>
      </c>
      <c r="D217" s="154"/>
      <c r="E217" s="154">
        <f>(E221+O217+F217)</f>
        <v>-1.8450527746225909E-2</v>
      </c>
      <c r="F217" s="161">
        <f>(O217*E221)</f>
        <v>6.2748711680887572</v>
      </c>
      <c r="G217" s="161"/>
      <c r="H217" s="191">
        <f>(P218+H218)/2</f>
        <v>736.57317753064319</v>
      </c>
      <c r="I217" s="161"/>
      <c r="J217" s="161"/>
      <c r="K217" s="161"/>
      <c r="L217" s="161"/>
      <c r="M217" s="161"/>
      <c r="N217" s="161">
        <f>(A213-A209)-(A209-B214)</f>
        <v>15.525829321353115</v>
      </c>
      <c r="O217" s="152">
        <f>(P217+A210+C213*10)</f>
        <v>-1.2422965645599009</v>
      </c>
      <c r="P217" s="161">
        <f>E221</f>
        <v>-5.0510251312750825</v>
      </c>
      <c r="Q217" s="162">
        <f>(Q213*Q212*10)</f>
        <v>-35.601953797179078</v>
      </c>
      <c r="R217" s="171"/>
      <c r="S217" s="151"/>
      <c r="T217" s="163">
        <f>(T216+T215)</f>
        <v>-77.706441519768276</v>
      </c>
      <c r="U217" s="154"/>
      <c r="V217" s="154">
        <f>((Y217+X217*-1)+X221)*10-T210+AH217*-1-V213*111</f>
        <v>10.743461978221294</v>
      </c>
      <c r="W217" s="154"/>
      <c r="X217" s="154">
        <f>(X221+AH217+Y217)</f>
        <v>-0.15124338885595279</v>
      </c>
      <c r="Y217" s="161">
        <f>(AH217*X221)</f>
        <v>5.4053456098134482</v>
      </c>
      <c r="Z217" s="161"/>
      <c r="AA217" s="191">
        <f>(AI218+AA218)/2</f>
        <v>737.87000300079694</v>
      </c>
      <c r="AB217" s="161"/>
      <c r="AC217" s="161"/>
      <c r="AD217" s="161"/>
      <c r="AE217" s="161"/>
      <c r="AF217" s="161"/>
      <c r="AG217" s="161">
        <f>(T213-T209)-(T209-U214)</f>
        <v>16.143927843780432</v>
      </c>
      <c r="AH217" s="152">
        <f>(AI217+T210+V213*10)</f>
        <v>-1.2572505436187567</v>
      </c>
      <c r="AI217" s="161">
        <f>X221</f>
        <v>-4.2993384550506448</v>
      </c>
      <c r="AJ217" s="162">
        <f>(AJ213*AJ212*10)</f>
        <v>-16.071337756054827</v>
      </c>
      <c r="AK217" s="171"/>
      <c r="AL217" s="151"/>
      <c r="AM217" s="163">
        <f>(AM216+AM215)</f>
        <v>-77.045280449368192</v>
      </c>
      <c r="AN217" s="154"/>
      <c r="AO217" s="154">
        <f>((AR217+AQ217*-1)+AQ221)*10-AM210+BA217*-1-AO213*111</f>
        <v>10.653057765936735</v>
      </c>
      <c r="AP217" s="154"/>
      <c r="AQ217" s="154">
        <f>(AQ221+BA217+AR217)</f>
        <v>-0.19834259325169956</v>
      </c>
      <c r="AR217" s="161">
        <f>(BA217*AQ221)</f>
        <v>5.3036047635792869</v>
      </c>
      <c r="AS217" s="161"/>
      <c r="AT217" s="191">
        <f>(BB218+AT218)/2</f>
        <v>928.06141163088569</v>
      </c>
      <c r="AU217" s="161"/>
      <c r="AV217" s="161"/>
      <c r="AW217" s="161"/>
      <c r="AX217" s="161"/>
      <c r="AY217" s="161"/>
      <c r="AZ217" s="161">
        <f>(AM213-AM209)-(AM209-AN214)</f>
        <v>16.008517950532337</v>
      </c>
      <c r="BA217" s="152">
        <f>(BB217+AM210+AO213*10)</f>
        <v>-1.2462307050956032</v>
      </c>
      <c r="BB217" s="161">
        <f>AQ221</f>
        <v>-4.2557166517353835</v>
      </c>
      <c r="BC217" s="162">
        <f>(BC213*BC212*10)</f>
        <v>-12.308088591617937</v>
      </c>
      <c r="BD217" s="171"/>
      <c r="BE217" s="151"/>
      <c r="BF217" s="163">
        <f>(BF216+BF215)</f>
        <v>-76.096862356135546</v>
      </c>
      <c r="BG217" s="154"/>
      <c r="BH217" s="154">
        <f>((BK217+BJ217*-1)+BJ221)*10-BF210+BT217*-1-BH213*111</f>
        <v>10.168297264878428</v>
      </c>
      <c r="BI217" s="154"/>
      <c r="BJ217" s="154">
        <f>(BJ221+BT217+BK217)</f>
        <v>-0.12304107712285628</v>
      </c>
      <c r="BK217" s="161">
        <f>(BT217*BJ221)</f>
        <v>5.7832630211548484</v>
      </c>
      <c r="BL217" s="161"/>
      <c r="BM217" s="191">
        <f>(BU218+BM218)/2</f>
        <v>927.17118253028798</v>
      </c>
      <c r="BN217" s="161"/>
      <c r="BO217" s="161"/>
      <c r="BP217" s="161"/>
      <c r="BQ217" s="161"/>
      <c r="BR217" s="161"/>
      <c r="BS217" s="161">
        <f>(BF213-BF209)-(BF209-BG214)</f>
        <v>15.683007926408436</v>
      </c>
      <c r="BT217" s="152">
        <f>(BU217+BF210+BH213*10)</f>
        <v>-1.2391380456435035</v>
      </c>
      <c r="BU217" s="161">
        <f>BJ221</f>
        <v>-4.6671660526342009</v>
      </c>
      <c r="BV217" s="162">
        <f>(BV213*BV212*10)</f>
        <v>3.3114516574104753</v>
      </c>
      <c r="BW217" s="171"/>
      <c r="BX217" s="151"/>
      <c r="BY217" s="797"/>
      <c r="BZ217" s="797"/>
      <c r="CA217" s="797"/>
      <c r="CB217" s="797"/>
      <c r="CC217" s="797"/>
      <c r="CD217" s="797"/>
      <c r="CE217" s="797"/>
      <c r="CF217" s="797"/>
      <c r="CG217" s="797"/>
      <c r="CH217" s="797"/>
      <c r="CI217" s="797"/>
      <c r="CJ217" s="797"/>
      <c r="CK217" s="797"/>
      <c r="CL217" s="797"/>
      <c r="CM217" s="797"/>
      <c r="CN217" s="797"/>
      <c r="CO217" s="797"/>
      <c r="CP217" s="797"/>
      <c r="CQ217" s="797"/>
      <c r="CR217" s="797"/>
      <c r="CS217" s="797"/>
      <c r="CT217" s="797"/>
      <c r="CU217" s="797"/>
    </row>
    <row r="218" spans="1:99" x14ac:dyDescent="0.25">
      <c r="A218" s="163">
        <f>(A209+A217)</f>
        <v>148.29662955976917</v>
      </c>
      <c r="B218" s="154">
        <f>(A209+A218)/2</f>
        <v>186.23102122359342</v>
      </c>
      <c r="C218" s="154">
        <f>(E214-A209)-(A209-B218)</f>
        <v>-38.885917914108717</v>
      </c>
      <c r="D218" s="163">
        <f>(B214+C214)/2</f>
        <v>217.28267986629965</v>
      </c>
      <c r="E218" s="163">
        <f>(A213+A219)</f>
        <v>449.28235202511985</v>
      </c>
      <c r="F218" s="191">
        <f>(G215*2)-G222</f>
        <v>3811.6066494563825</v>
      </c>
      <c r="G218" s="191">
        <f>(A210*F218)</f>
        <v>14507.375130866063</v>
      </c>
      <c r="H218" s="191">
        <f>(N220+P218)/2</f>
        <v>491.37396562244516</v>
      </c>
      <c r="I218" s="191"/>
      <c r="J218" s="191"/>
      <c r="K218" s="191"/>
      <c r="L218" s="191"/>
      <c r="M218" s="191"/>
      <c r="N218" s="191">
        <f>(O218+O219)/2</f>
        <v>996.57073888238915</v>
      </c>
      <c r="O218" s="152">
        <f>(A212+C214)/2*Q223/Q215</f>
        <v>943.2791535131239</v>
      </c>
      <c r="P218" s="152">
        <f>B211*Q223/Q215</f>
        <v>981.77238943884117</v>
      </c>
      <c r="Q218" s="149">
        <f>(A214+B211)/2</f>
        <v>213.25452559603497</v>
      </c>
      <c r="R218" s="171"/>
      <c r="S218" s="151"/>
      <c r="T218" s="163">
        <f>(T209+T217)</f>
        <v>147.5278349501055</v>
      </c>
      <c r="U218" s="154">
        <f>(T209+T218)/2</f>
        <v>186.38105570998965</v>
      </c>
      <c r="V218" s="154">
        <f>(X214-T209)-(T209-U218)</f>
        <v>-39.612648527589783</v>
      </c>
      <c r="W218" s="163">
        <f>(U214+V214)/2</f>
        <v>218.66891139755052</v>
      </c>
      <c r="X218" s="163">
        <f>(T213+T219)</f>
        <v>451.22798070745318</v>
      </c>
      <c r="Y218" s="191">
        <f>(Z215*2)-Z222</f>
        <v>2284.753065700254</v>
      </c>
      <c r="Z218" s="191">
        <f>(T210*Y218)</f>
        <v>6940.4196817736893</v>
      </c>
      <c r="AA218" s="191">
        <f>(AG220+AI218)/2</f>
        <v>492.23871196583792</v>
      </c>
      <c r="AB218" s="191"/>
      <c r="AC218" s="191"/>
      <c r="AD218" s="191"/>
      <c r="AE218" s="191"/>
      <c r="AF218" s="191"/>
      <c r="AG218" s="191">
        <f>(AH218+AH219)/2</f>
        <v>998.20191211016959</v>
      </c>
      <c r="AH218" s="152">
        <f>(T212+V214)/2*AJ223/AJ215</f>
        <v>944.67658933469431</v>
      </c>
      <c r="AI218" s="152">
        <f>U211*AJ223/AJ215</f>
        <v>983.5012940357559</v>
      </c>
      <c r="AJ218" s="149">
        <f>(T214+U211)/2</f>
        <v>214.38182962834424</v>
      </c>
      <c r="AK218" s="171"/>
      <c r="AL218" s="151"/>
      <c r="AM218" s="163">
        <f>(AM209+AM217)</f>
        <v>147.26929928101538</v>
      </c>
      <c r="AN218" s="154">
        <f>(AM209+AM218)/2</f>
        <v>185.79193950569947</v>
      </c>
      <c r="AO218" s="154">
        <f>(AQ214-AM209)-(AM209-AN218)</f>
        <v>-39.27387324492139</v>
      </c>
      <c r="AP218" s="163">
        <f>(AN214+AO214)/2</f>
        <v>217.80897540676415</v>
      </c>
      <c r="AQ218" s="163">
        <f>(AM213+AM219)</f>
        <v>449.38039248100444</v>
      </c>
      <c r="AR218" s="191">
        <f>(AS215*2)-AS222</f>
        <v>2195.9365250119868</v>
      </c>
      <c r="AS218" s="191">
        <f>(AM210*AR218)</f>
        <v>6598.6401117365685</v>
      </c>
      <c r="AT218" s="191">
        <f>(AZ220+BB218)/2</f>
        <v>619.03716136381047</v>
      </c>
      <c r="AU218" s="191"/>
      <c r="AV218" s="191"/>
      <c r="AW218" s="191"/>
      <c r="AX218" s="191"/>
      <c r="AY218" s="191"/>
      <c r="AZ218" s="191">
        <f>(BA218+BA219)/2</f>
        <v>1255.4897512368107</v>
      </c>
      <c r="BA218" s="152">
        <f>(AM212+AO214)/2*BC223/BC215</f>
        <v>1188.4738811867301</v>
      </c>
      <c r="BB218" s="152">
        <f>AN211*BC223/BC215</f>
        <v>1237.0856618979608</v>
      </c>
      <c r="BC218" s="149">
        <f>(AM214+AN211)/2</f>
        <v>213.55707014385661</v>
      </c>
      <c r="BD218" s="171"/>
      <c r="BE218" s="151"/>
      <c r="BF218" s="163">
        <f>(BF209+BF217)</f>
        <v>147.70647279529197</v>
      </c>
      <c r="BG218" s="154">
        <f>(BF209+BF218)/2</f>
        <v>185.75490397335975</v>
      </c>
      <c r="BH218" s="154">
        <f>(BJ214-BF209)-(BF209-BG218)</f>
        <v>-38.90459181273107</v>
      </c>
      <c r="BI218" s="163">
        <f>(BG214+BH214)/2</f>
        <v>217.12091982617665</v>
      </c>
      <c r="BJ218" s="163">
        <f>(BF213+BF219)</f>
        <v>448.46283093751833</v>
      </c>
      <c r="BK218" s="191">
        <f>(BL215*2)-BL222</f>
        <v>2953.8010706045152</v>
      </c>
      <c r="BL218" s="191">
        <f>(BF210*BK218)</f>
        <v>10115.712797111384</v>
      </c>
      <c r="BM218" s="191">
        <f>(BS220+BU218)/2</f>
        <v>618.44356772000299</v>
      </c>
      <c r="BN218" s="191"/>
      <c r="BO218" s="191"/>
      <c r="BP218" s="191"/>
      <c r="BQ218" s="191"/>
      <c r="BR218" s="191"/>
      <c r="BS218" s="191">
        <f>(BT218+BT219)/2</f>
        <v>1254.3759756578711</v>
      </c>
      <c r="BT218" s="152">
        <f>(BF212+BH214)/2*BV223/BV215</f>
        <v>1187.4977700847714</v>
      </c>
      <c r="BU218" s="152">
        <f>BG211*BV223/BV215</f>
        <v>1235.8987973405729</v>
      </c>
      <c r="BV218" s="149">
        <f>(BF214+BG211)/2</f>
        <v>213.00698640491566</v>
      </c>
      <c r="BW218" s="171"/>
      <c r="BX218" s="151"/>
      <c r="BY218" s="797"/>
      <c r="BZ218" s="797"/>
      <c r="CA218" s="797"/>
      <c r="CB218" s="797"/>
      <c r="CC218" s="797"/>
      <c r="CD218" s="797"/>
      <c r="CE218" s="797"/>
      <c r="CF218" s="797"/>
      <c r="CG218" s="797"/>
      <c r="CH218" s="797"/>
      <c r="CI218" s="797"/>
      <c r="CJ218" s="797"/>
      <c r="CK218" s="797"/>
      <c r="CL218" s="797"/>
      <c r="CM218" s="797"/>
      <c r="CN218" s="797"/>
      <c r="CO218" s="797"/>
      <c r="CP218" s="797"/>
      <c r="CQ218" s="797"/>
      <c r="CR218" s="797"/>
      <c r="CS218" s="797"/>
      <c r="CT218" s="797"/>
      <c r="CU218" s="797"/>
    </row>
    <row r="219" spans="1:99" x14ac:dyDescent="0.25">
      <c r="A219" s="163">
        <f>((A214+A213+A212+A211)/4-A214-A209)*-1</f>
        <v>205.19821705550555</v>
      </c>
      <c r="B219" s="154">
        <f>(B214+C214)/2</f>
        <v>217.28267986629965</v>
      </c>
      <c r="C219" s="154">
        <f>(E221+A210)</f>
        <v>-1.2449201301372739</v>
      </c>
      <c r="D219" s="163">
        <f>(A221+D220+A213+D220)/2</f>
        <v>379.27863671955515</v>
      </c>
      <c r="E219" s="163">
        <f>(A214+D220+A213)/3</f>
        <v>201.06872268146722</v>
      </c>
      <c r="F219" s="191">
        <f>(O219+P218)/2</f>
        <v>1015.8173568452478</v>
      </c>
      <c r="G219" s="149"/>
      <c r="H219" s="191">
        <f>(O219+P218+N218)/3</f>
        <v>1009.4018175242949</v>
      </c>
      <c r="I219" s="191"/>
      <c r="J219" s="191"/>
      <c r="K219" s="191"/>
      <c r="L219" s="191"/>
      <c r="M219" s="191"/>
      <c r="N219" s="191">
        <f>((A219+A213)/2)*Q223/Q215</f>
        <v>992.28004128247323</v>
      </c>
      <c r="O219" s="152">
        <f>((A220+A211)/2)*Q223/Q215</f>
        <v>1049.8623242516544</v>
      </c>
      <c r="P219" s="152">
        <f>B210*Q223/Q215</f>
        <v>959.77625462414551</v>
      </c>
      <c r="Q219" s="162">
        <f>A210+E221</f>
        <v>-1.2449201301372739</v>
      </c>
      <c r="R219" s="171"/>
      <c r="S219" s="151"/>
      <c r="T219" s="163">
        <f>((T214+T213+T212+T211)/4-T214-T209)*-1</f>
        <v>205.8076660899317</v>
      </c>
      <c r="U219" s="154">
        <f>(U214+V214)/2</f>
        <v>218.66891139755052</v>
      </c>
      <c r="V219" s="154">
        <f>(X221+T210)</f>
        <v>-1.2616273842279782</v>
      </c>
      <c r="W219" s="163">
        <f>(T221+W220+T213+W220)/2</f>
        <v>380.48853724755634</v>
      </c>
      <c r="X219" s="163">
        <f>(T214+W220+T213)/3</f>
        <v>201.84431892516787</v>
      </c>
      <c r="Y219" s="191">
        <f>(AH219+AI218)/2</f>
        <v>1017.6142644607003</v>
      </c>
      <c r="Z219" s="149"/>
      <c r="AA219" s="191">
        <f>(AH219+AI218+AG218)/3</f>
        <v>1011.1434803438566</v>
      </c>
      <c r="AB219" s="191"/>
      <c r="AC219" s="191"/>
      <c r="AD219" s="191"/>
      <c r="AE219" s="191"/>
      <c r="AF219" s="191"/>
      <c r="AG219" s="191">
        <f>((T219+T213)/2)*AJ223/AJ215</f>
        <v>991.84781513324447</v>
      </c>
      <c r="AH219" s="152">
        <f>((T220+T211)/2)*AJ223/AJ215</f>
        <v>1051.7272348856447</v>
      </c>
      <c r="AI219" s="152">
        <f>U210*AJ223/AJ215</f>
        <v>961.3157484922923</v>
      </c>
      <c r="AJ219" s="162">
        <f>T210+X221</f>
        <v>-1.2616273842279782</v>
      </c>
      <c r="AK219" s="171"/>
      <c r="AL219" s="151"/>
      <c r="AM219" s="163">
        <f>((AM214+AM213+AM212+AM211)/4-AM214-AM209)*-1</f>
        <v>205.05325961804152</v>
      </c>
      <c r="AN219" s="154">
        <f>(AN214+AO214)/2</f>
        <v>217.80897540676415</v>
      </c>
      <c r="AO219" s="154">
        <f>(AQ221+AM210)</f>
        <v>-1.2507845707862089</v>
      </c>
      <c r="AP219" s="163">
        <f>(AM221+AP220+AM213+AP220)/2</f>
        <v>379.07859323344667</v>
      </c>
      <c r="AQ219" s="163">
        <f>(AM214+AP220+AM213)/3</f>
        <v>201.06845490292366</v>
      </c>
      <c r="AR219" s="191">
        <f>(BA219+BB218)/2</f>
        <v>1279.7956415924259</v>
      </c>
      <c r="AS219" s="149"/>
      <c r="AT219" s="191">
        <f>(BA219+BB218+AZ218)/3</f>
        <v>1271.6936781405541</v>
      </c>
      <c r="AU219" s="191"/>
      <c r="AV219" s="191"/>
      <c r="AW219" s="191"/>
      <c r="AX219" s="191"/>
      <c r="AY219" s="191"/>
      <c r="AZ219" s="191">
        <f>((AM219+AM213)/2)*BC223/BC215</f>
        <v>1247.5130527463468</v>
      </c>
      <c r="BA219" s="152">
        <f>((AM220+AM211)/2)*BC223/BC215</f>
        <v>1322.505621286891</v>
      </c>
      <c r="BB219" s="152">
        <f>AN210*BC223/BC215</f>
        <v>1209.3075014915432</v>
      </c>
      <c r="BC219" s="162">
        <f>AM210+AQ221</f>
        <v>-1.2507845707862089</v>
      </c>
      <c r="BD219" s="171"/>
      <c r="BE219" s="151"/>
      <c r="BF219" s="163">
        <f>((BF214+BF213+BF212+BF211)/4-BF214-BF209)*-1</f>
        <v>204.77911956239365</v>
      </c>
      <c r="BG219" s="154">
        <f>(BG214+BH214)/2</f>
        <v>217.12091982617665</v>
      </c>
      <c r="BH219" s="154">
        <f>(BJ221+BF210)</f>
        <v>-1.2425235139810695</v>
      </c>
      <c r="BI219" s="163">
        <f>(BF221+BI220+BF213+BI220)/2</f>
        <v>378.52774174300538</v>
      </c>
      <c r="BJ219" s="163">
        <f>(BF214+BI220+BF213)/3</f>
        <v>200.70567891192232</v>
      </c>
      <c r="BK219" s="191">
        <f>(BT219+BU218)/2</f>
        <v>1278.5764892857719</v>
      </c>
      <c r="BL219" s="149"/>
      <c r="BM219" s="191">
        <f>(BT219+BU218+BS218)/3</f>
        <v>1270.509651409805</v>
      </c>
      <c r="BN219" s="191"/>
      <c r="BO219" s="191"/>
      <c r="BP219" s="191"/>
      <c r="BQ219" s="191"/>
      <c r="BR219" s="191"/>
      <c r="BS219" s="191">
        <f>((BF219+BF213)/2)*BV223/BV215</f>
        <v>1247.8097688856938</v>
      </c>
      <c r="BT219" s="152">
        <f>((BF220+BF211)/2)*BV223/BV215</f>
        <v>1321.254181230971</v>
      </c>
      <c r="BU219" s="152">
        <f>BG210*BV223/BV215</f>
        <v>1208.2410674801149</v>
      </c>
      <c r="BV219" s="162">
        <f>BF210+BJ221</f>
        <v>-1.2425235139810695</v>
      </c>
      <c r="BW219" s="171"/>
      <c r="BX219" s="151"/>
      <c r="BY219" s="797"/>
      <c r="BZ219" s="797"/>
      <c r="CA219" s="797"/>
      <c r="CB219" s="797"/>
      <c r="CC219" s="797"/>
      <c r="CD219" s="797"/>
      <c r="CE219" s="797"/>
      <c r="CF219" s="797"/>
      <c r="CG219" s="797"/>
      <c r="CH219" s="797"/>
      <c r="CI219" s="797"/>
      <c r="CJ219" s="797"/>
      <c r="CK219" s="797"/>
      <c r="CL219" s="797"/>
      <c r="CM219" s="797"/>
      <c r="CN219" s="797"/>
      <c r="CO219" s="797"/>
      <c r="CP219" s="797"/>
      <c r="CQ219" s="797"/>
      <c r="CR219" s="797"/>
      <c r="CS219" s="797"/>
      <c r="CT219" s="797"/>
      <c r="CU219" s="797"/>
    </row>
    <row r="220" spans="1:99" x14ac:dyDescent="0.25">
      <c r="A220" s="163">
        <f>((A214+A213+A212+A211)/4-A214-A209*-1)</f>
        <v>243.13260871932982</v>
      </c>
      <c r="B220" s="154">
        <f>B211/2</f>
        <v>111.1311801934244</v>
      </c>
      <c r="C220" s="154">
        <f>(B210+C214)/2</f>
        <v>216.03775973616234</v>
      </c>
      <c r="D220" s="163">
        <f>(A219+A218+B220)/3</f>
        <v>154.87534226956635</v>
      </c>
      <c r="E220" s="163">
        <f>(A214+A213+B220)/3</f>
        <v>186.48733532275324</v>
      </c>
      <c r="F220" s="149">
        <f>E217+(C224*-1)-E217-E221</f>
        <v>3.8810607623873405</v>
      </c>
      <c r="G220" s="149"/>
      <c r="H220" s="191">
        <f>(P220+N220)/2</f>
        <v>345.24839984462267</v>
      </c>
      <c r="I220" s="149"/>
      <c r="J220" s="149"/>
      <c r="K220" s="149"/>
      <c r="L220" s="149"/>
      <c r="M220" s="149"/>
      <c r="N220" s="191">
        <f>((N219+N218)/2/Q214)</f>
        <v>0.97554180604910634</v>
      </c>
      <c r="O220" s="152">
        <f>((A212+D218)/2)*Q223/Q215</f>
        <v>948.77818721679785</v>
      </c>
      <c r="P220" s="152">
        <f>((B220+E219)/2)*Q223/Q215</f>
        <v>689.5212578831962</v>
      </c>
      <c r="Q220" s="162">
        <f>(Q219*Q217/10)</f>
        <v>4.432158895432539</v>
      </c>
      <c r="R220" s="171"/>
      <c r="S220" s="151"/>
      <c r="T220" s="163">
        <f>((T214+T213+T212+T211)/4-T214-T209*-1)</f>
        <v>244.66088684981585</v>
      </c>
      <c r="U220" s="154">
        <f>U211/2</f>
        <v>111.85771046723121</v>
      </c>
      <c r="V220" s="154">
        <f>(U210+V214)/2</f>
        <v>217.40728401332254</v>
      </c>
      <c r="W220" s="163">
        <f>(T219+T218+U220)/3</f>
        <v>155.06440383575614</v>
      </c>
      <c r="X220" s="163">
        <f>(T214+T213+U220)/3</f>
        <v>187.44208780232626</v>
      </c>
      <c r="Y220" s="149">
        <f>X217+(V224*-1)-X217-X221</f>
        <v>3.0428004332719389</v>
      </c>
      <c r="Z220" s="149"/>
      <c r="AA220" s="191">
        <f>(AI220+AG220)/2</f>
        <v>345.26352852613928</v>
      </c>
      <c r="AB220" s="149"/>
      <c r="AC220" s="149"/>
      <c r="AD220" s="149"/>
      <c r="AE220" s="149"/>
      <c r="AF220" s="149"/>
      <c r="AG220" s="191">
        <f>((AG219+AG218)/2/AJ214)</f>
        <v>0.97612989591991628</v>
      </c>
      <c r="AH220" s="152">
        <f>((T212+W218)/2)*AJ223/AJ215</f>
        <v>950.22297572056038</v>
      </c>
      <c r="AI220" s="152">
        <f>((U220+X219)/2)*AJ223/AJ215</f>
        <v>689.55092715635863</v>
      </c>
      <c r="AJ220" s="162">
        <f>(AJ219*AJ217/10)</f>
        <v>2.0276039814215796</v>
      </c>
      <c r="AK220" s="171"/>
      <c r="AL220" s="151"/>
      <c r="AM220" s="163">
        <f>((AM214+AM213+AM212+AM211)/4-AM214-AM209*-1)</f>
        <v>243.57589984272562</v>
      </c>
      <c r="AN220" s="154">
        <f>AN211/2</f>
        <v>111.40605684495449</v>
      </c>
      <c r="AO220" s="154">
        <f>(AN210+AO214)/2</f>
        <v>216.55819083597794</v>
      </c>
      <c r="AP220" s="163">
        <f>(AM219+AM218+AN220)/3</f>
        <v>154.57620524800379</v>
      </c>
      <c r="AQ220" s="163">
        <f>(AM214+AM213+AN220)/3</f>
        <v>186.67840543524053</v>
      </c>
      <c r="AR220" s="149">
        <f>AQ217+(AO224*-1)-AQ217-AQ221</f>
        <v>2.9087744176721184</v>
      </c>
      <c r="AS220" s="149"/>
      <c r="AT220" s="191">
        <f>(BB220+AZ220)/2</f>
        <v>434.22045485015178</v>
      </c>
      <c r="AU220" s="149"/>
      <c r="AV220" s="149"/>
      <c r="AW220" s="149"/>
      <c r="AX220" s="149"/>
      <c r="AY220" s="149"/>
      <c r="AZ220" s="191">
        <f>((AZ219+AZ218)/2/BC214)</f>
        <v>0.98866082966020186</v>
      </c>
      <c r="BA220" s="152">
        <f>((AM212+AP218)/2)*BC223/BC215</f>
        <v>1195.4184212883345</v>
      </c>
      <c r="BB220" s="152">
        <f>((AN220+AQ219)/2)*BC223/BC215</f>
        <v>867.45224887064342</v>
      </c>
      <c r="BC220" s="162">
        <f>(BC219*BC217/10)</f>
        <v>1.5394767306265476</v>
      </c>
      <c r="BD220" s="171"/>
      <c r="BE220" s="151"/>
      <c r="BF220" s="163">
        <f>((BF214+BF213+BF212+BF211)/4-BF214-BF209*-1)</f>
        <v>242.82755074046139</v>
      </c>
      <c r="BG220" s="154">
        <f>BG211/2</f>
        <v>111.04550694105048</v>
      </c>
      <c r="BH220" s="154">
        <f>(BG210+BH214)/2</f>
        <v>215.87839631219558</v>
      </c>
      <c r="BI220" s="163">
        <f>(BF219+BF218+BG220)/3</f>
        <v>154.51036643291204</v>
      </c>
      <c r="BJ220" s="163">
        <f>(BF214+BF213+BG220)/3</f>
        <v>186.21739241463516</v>
      </c>
      <c r="BK220" s="149">
        <f>BJ217+(BH224*-1)-BJ217-BJ221</f>
        <v>2.8354633175126285</v>
      </c>
      <c r="BL220" s="149"/>
      <c r="BM220" s="191">
        <f>(BU220+BS220)/2</f>
        <v>434.20477819408609</v>
      </c>
      <c r="BN220" s="149"/>
      <c r="BO220" s="149"/>
      <c r="BP220" s="149"/>
      <c r="BQ220" s="149"/>
      <c r="BR220" s="149"/>
      <c r="BS220" s="191">
        <f>((BS219+BS218)/2/BV214)</f>
        <v>0.9883380994330746</v>
      </c>
      <c r="BT220" s="152">
        <f>((BF212+BI218)/2)*BV223/BV215</f>
        <v>1194.4122025498859</v>
      </c>
      <c r="BU220" s="152">
        <f>((BG220+BJ219)/2)*BV223/BV215</f>
        <v>867.42121828873906</v>
      </c>
      <c r="BV220" s="162">
        <f>(BV219*BV217/10)</f>
        <v>-0.41145565497441006</v>
      </c>
      <c r="BW220" s="171"/>
      <c r="BX220" s="151"/>
      <c r="BY220" s="797"/>
      <c r="BZ220" s="797"/>
      <c r="CA220" s="797"/>
      <c r="CB220" s="797"/>
      <c r="CC220" s="797"/>
      <c r="CD220" s="797"/>
      <c r="CE220" s="797"/>
      <c r="CF220" s="797"/>
      <c r="CG220" s="797"/>
      <c r="CH220" s="797"/>
      <c r="CI220" s="797"/>
      <c r="CJ220" s="797"/>
      <c r="CK220" s="797"/>
      <c r="CL220" s="797"/>
      <c r="CM220" s="797"/>
      <c r="CN220" s="797"/>
      <c r="CO220" s="797"/>
      <c r="CP220" s="797"/>
      <c r="CQ220" s="797"/>
      <c r="CR220" s="797"/>
      <c r="CS220" s="797"/>
      <c r="CT220" s="797"/>
      <c r="CU220" s="797"/>
    </row>
    <row r="221" spans="1:99" x14ac:dyDescent="0.25">
      <c r="A221" s="163">
        <f>(A214+A219)/2</f>
        <v>204.72245393036332</v>
      </c>
      <c r="B221" s="154">
        <f>(A211+B213)/2</f>
        <v>229.7318811676725</v>
      </c>
      <c r="C221" s="154">
        <f>(A210*C213)</f>
        <v>9.9855660648525768E-4</v>
      </c>
      <c r="D221" s="154">
        <f>(A211+B221)/2</f>
        <v>230.9768012978098</v>
      </c>
      <c r="E221" s="154">
        <f>(D221-A209)-(A209-A212)</f>
        <v>-5.0510251312750825</v>
      </c>
      <c r="F221" s="191">
        <f>(N221+H221)/2</f>
        <v>1030.493102397867</v>
      </c>
      <c r="G221" s="149"/>
      <c r="H221" s="314">
        <f>A220*Q223/Q215</f>
        <v>1073.9599894350765</v>
      </c>
      <c r="I221" s="149"/>
      <c r="J221" s="149"/>
      <c r="K221" s="149"/>
      <c r="L221" s="149"/>
      <c r="M221" s="149"/>
      <c r="N221" s="191">
        <f>(N219+P218)/2</f>
        <v>987.02621536065726</v>
      </c>
      <c r="O221" s="152">
        <f>((E218+A218)/2)*Q223/Q215</f>
        <v>1319.8063396966872</v>
      </c>
      <c r="P221" s="152">
        <f>((E219+E221/10)/2)*Q223/Q215</f>
        <v>442.96259669081161</v>
      </c>
      <c r="Q221" s="163">
        <f>(Q220+C224)</f>
        <v>5.602123264320281</v>
      </c>
      <c r="R221" s="171"/>
      <c r="S221" s="151"/>
      <c r="T221" s="163">
        <f>(T214+T219)/2</f>
        <v>205.42795220607888</v>
      </c>
      <c r="U221" s="154">
        <f>(T211+U213)/2</f>
        <v>231.28518523983035</v>
      </c>
      <c r="V221" s="154">
        <f>(T210*V213)</f>
        <v>1.3295577173858123E-3</v>
      </c>
      <c r="W221" s="154">
        <f>(T211+U221)/2</f>
        <v>232.54681262405833</v>
      </c>
      <c r="X221" s="154">
        <f>(W221-T209)-(T209-T212)</f>
        <v>-4.2993384550506448</v>
      </c>
      <c r="Y221" s="191">
        <f>(AG221+AA221)/2</f>
        <v>1031.6283196165532</v>
      </c>
      <c r="Z221" s="149"/>
      <c r="AA221" s="314">
        <f>T220*AJ223/AJ215</f>
        <v>1075.5820846486063</v>
      </c>
      <c r="AB221" s="149"/>
      <c r="AC221" s="149"/>
      <c r="AD221" s="149"/>
      <c r="AE221" s="149"/>
      <c r="AF221" s="149"/>
      <c r="AG221" s="191">
        <f>(AG219+AI218)/2</f>
        <v>987.67455458450013</v>
      </c>
      <c r="AH221" s="152">
        <f>((X218+T218)/2)*AJ223/AJ215</f>
        <v>1316.1299231203991</v>
      </c>
      <c r="AI221" s="152">
        <f>((X219+X221/10)/2)*AJ223/AJ215</f>
        <v>442.73056264032726</v>
      </c>
      <c r="AJ221" s="163">
        <f>(AJ220+V224)</f>
        <v>3.2841420032002855</v>
      </c>
      <c r="AK221" s="171"/>
      <c r="AL221" s="151"/>
      <c r="AM221" s="163">
        <f>(AM214+AM219)/2</f>
        <v>204.67764310792288</v>
      </c>
      <c r="AN221" s="154">
        <f>(AM211+AN213)/2</f>
        <v>230.31682111462624</v>
      </c>
      <c r="AO221" s="154">
        <f>(AM210*AO213)</f>
        <v>1.3684057106034847E-3</v>
      </c>
      <c r="AP221" s="154">
        <f>(AM211+AN221)/2</f>
        <v>231.56760568541245</v>
      </c>
      <c r="AQ221" s="154">
        <f>(AP221-AM209)-(AM209-AM212)</f>
        <v>-4.2557166517353835</v>
      </c>
      <c r="AR221" s="191">
        <f>(AZ221+AT221)/2</f>
        <v>1297.3343085925699</v>
      </c>
      <c r="AS221" s="149"/>
      <c r="AT221" s="314">
        <f>AM220*BC223/BC215</f>
        <v>1352.3692598629857</v>
      </c>
      <c r="AU221" s="149"/>
      <c r="AV221" s="149"/>
      <c r="AW221" s="149"/>
      <c r="AX221" s="149"/>
      <c r="AY221" s="149"/>
      <c r="AZ221" s="191">
        <f>(AZ219+BB218)/2</f>
        <v>1242.2993573221538</v>
      </c>
      <c r="BA221" s="152">
        <f>((AQ218+AM218)/2)*BC223/BC215</f>
        <v>1656.3434694620487</v>
      </c>
      <c r="BB221" s="152">
        <f>((AQ219+AQ221/10)/2)*BC223/BC215</f>
        <v>556.99941512320197</v>
      </c>
      <c r="BC221" s="163">
        <f>(BC220+AO224)</f>
        <v>2.8864189646898124</v>
      </c>
      <c r="BD221" s="171"/>
      <c r="BE221" s="151"/>
      <c r="BF221" s="163">
        <f>(BF214+BF219)/2</f>
        <v>204.351039245062</v>
      </c>
      <c r="BG221" s="154">
        <f>(BF211+BG213)/2</f>
        <v>229.5461549659874</v>
      </c>
      <c r="BH221" s="154">
        <f>(BF210*BH213)</f>
        <v>1.1594018882091662E-3</v>
      </c>
      <c r="BI221" s="154">
        <f>(BF211+BG221)/2</f>
        <v>230.78867847996847</v>
      </c>
      <c r="BJ221" s="154">
        <f>(BI221-BF209)-(BF209-BF212)</f>
        <v>-4.6671660526342009</v>
      </c>
      <c r="BK221" s="191">
        <f>(BS221+BM221)/2</f>
        <v>1296.5741942567931</v>
      </c>
      <c r="BL221" s="149"/>
      <c r="BM221" s="314">
        <f>BF220*BV223/BV215</f>
        <v>1351.294105400453</v>
      </c>
      <c r="BN221" s="149"/>
      <c r="BO221" s="149"/>
      <c r="BP221" s="149"/>
      <c r="BQ221" s="149"/>
      <c r="BR221" s="149"/>
      <c r="BS221" s="191">
        <f>(BS219+BU218)/2</f>
        <v>1241.8542831131333</v>
      </c>
      <c r="BT221" s="152">
        <f>((BJ218+BF218)/2)*BV223/BV215</f>
        <v>1658.7904945264615</v>
      </c>
      <c r="BU221" s="152">
        <f>((BJ219+BJ221/10)/2)*BV223/BV215</f>
        <v>557.1479196067304</v>
      </c>
      <c r="BV221" s="163">
        <f>(BV220+BH224)</f>
        <v>1.4202470801471625</v>
      </c>
      <c r="BW221" s="171"/>
      <c r="BX221" s="151"/>
      <c r="BY221" s="797"/>
      <c r="BZ221" s="797"/>
      <c r="CA221" s="797"/>
      <c r="CB221" s="797"/>
      <c r="CC221" s="797"/>
      <c r="CD221" s="797"/>
      <c r="CE221" s="797"/>
      <c r="CF221" s="797"/>
      <c r="CG221" s="797"/>
      <c r="CH221" s="797"/>
      <c r="CI221" s="797"/>
      <c r="CJ221" s="797"/>
      <c r="CK221" s="797"/>
      <c r="CL221" s="797"/>
      <c r="CM221" s="797"/>
      <c r="CN221" s="797"/>
      <c r="CO221" s="797"/>
      <c r="CP221" s="797"/>
      <c r="CQ221" s="797"/>
      <c r="CR221" s="797"/>
      <c r="CS221" s="797"/>
      <c r="CT221" s="797"/>
      <c r="CU221" s="797"/>
    </row>
    <row r="222" spans="1:99" x14ac:dyDescent="0.25">
      <c r="A222" s="163">
        <f>(A210*-1)+A217</f>
        <v>-79.674888328786324</v>
      </c>
      <c r="B222" s="163">
        <f>(A223*-1)+A222</f>
        <v>-7.6122100022756172</v>
      </c>
      <c r="C222" s="163">
        <f>(B222/2)+A210</f>
        <v>0</v>
      </c>
      <c r="D222" s="154"/>
      <c r="E222" s="163">
        <f>(C222*A210)+D215</f>
        <v>7.87866912522788</v>
      </c>
      <c r="F222" s="191">
        <f>A218*Q223/Q223</f>
        <v>148.29662955976917</v>
      </c>
      <c r="G222" s="191">
        <f>(E222+F222)</f>
        <v>156.17529868499705</v>
      </c>
      <c r="H222" s="149">
        <f>(O223+H220)/2</f>
        <v>1164.9042412047845</v>
      </c>
      <c r="I222" s="149"/>
      <c r="J222" s="149"/>
      <c r="K222" s="149"/>
      <c r="L222" s="149"/>
      <c r="M222" s="149"/>
      <c r="N222" s="191">
        <f>(O219+H219+O219)/3</f>
        <v>1036.3754886758679</v>
      </c>
      <c r="O222" s="152">
        <f>((B213+E221)/2)*Q223/Q215</f>
        <v>490.7286238000259</v>
      </c>
      <c r="P222" s="152">
        <f>D218*Q223/Q215</f>
        <v>959.77625462414551</v>
      </c>
      <c r="Q222" s="248">
        <f>((Q221*Q220*C224*-1)*Q223*Q212*Q213)*-3.444</f>
        <v>-512.90872262914922</v>
      </c>
      <c r="R222" s="171"/>
      <c r="S222" s="151"/>
      <c r="T222" s="163">
        <f>(T210*-1)+T217</f>
        <v>-80.744152590590943</v>
      </c>
      <c r="U222" s="163">
        <f>(T223*-1)+T222</f>
        <v>-6.0754221416453333</v>
      </c>
      <c r="V222" s="163">
        <f>(U222/2)+T210</f>
        <v>0</v>
      </c>
      <c r="W222" s="154"/>
      <c r="X222" s="163">
        <f>(V222*T210)+W215</f>
        <v>7.5746669797056541</v>
      </c>
      <c r="Y222" s="191">
        <f>T218*AJ223/AJ223</f>
        <v>147.5278349501055</v>
      </c>
      <c r="Z222" s="191">
        <f>(X222+Y222)</f>
        <v>155.10250192981115</v>
      </c>
      <c r="AA222" s="149">
        <f>(AH223+AA220)/2</f>
        <v>1164.4795793963142</v>
      </c>
      <c r="AB222" s="149"/>
      <c r="AC222" s="149"/>
      <c r="AD222" s="149"/>
      <c r="AE222" s="149"/>
      <c r="AF222" s="149"/>
      <c r="AG222" s="191">
        <f>(AH219+AA219+AH219)/3</f>
        <v>1038.1993167050487</v>
      </c>
      <c r="AH222" s="152">
        <f>((U213+X221)/2)*AJ223/AJ215</f>
        <v>493.39300971868602</v>
      </c>
      <c r="AI222" s="152">
        <f>W218*AJ223/AJ215</f>
        <v>961.3157484922923</v>
      </c>
      <c r="AJ222" s="248">
        <f>((AJ221*AJ220*V224*-1)*AJ223*AJ212*AJ213)*-3.444</f>
        <v>-36.586676435387794</v>
      </c>
      <c r="AK222" s="171"/>
      <c r="AL222" s="151"/>
      <c r="AM222" s="163">
        <f>(AM210*-1)+AM217</f>
        <v>-80.050212530317367</v>
      </c>
      <c r="AN222" s="163">
        <f>(AM223*-1)+AM222</f>
        <v>-6.0098641618983493</v>
      </c>
      <c r="AO222" s="163">
        <f>(AN222/2)+AM210</f>
        <v>0</v>
      </c>
      <c r="AP222" s="154"/>
      <c r="AQ222" s="163">
        <f>(AO222*AM210)+AP215</f>
        <v>7.5062319802483906</v>
      </c>
      <c r="AR222" s="191">
        <f>AM218*BC223/BC223</f>
        <v>147.26929928101538</v>
      </c>
      <c r="AS222" s="191">
        <f>(AQ222+AR222)</f>
        <v>154.77553126126378</v>
      </c>
      <c r="AT222" s="149">
        <f>(BA223+AT220)/2</f>
        <v>1464.6232801714227</v>
      </c>
      <c r="AU222" s="149"/>
      <c r="AV222" s="149"/>
      <c r="AW222" s="149"/>
      <c r="AX222" s="149"/>
      <c r="AY222" s="149"/>
      <c r="AZ222" s="191">
        <f>(BA219+AT219+BA219)/3</f>
        <v>1305.5683069047789</v>
      </c>
      <c r="BA222" s="152">
        <f>((AN213+AQ221)/2)*BC223/BC215</f>
        <v>620.61772842267851</v>
      </c>
      <c r="BB222" s="152">
        <f>AP218*BC223/BC215</f>
        <v>1209.3075014915432</v>
      </c>
      <c r="BC222" s="248">
        <f>((BC221*BC220*AO224*-1)*BC223*BC212*BC213)*-3.444</f>
        <v>-45.921260447386466</v>
      </c>
      <c r="BD222" s="171"/>
      <c r="BE222" s="151"/>
      <c r="BF222" s="163">
        <f>(BF210*-1)+BF217</f>
        <v>-79.521504894788677</v>
      </c>
      <c r="BG222" s="163">
        <f>(BF223*-1)+BF222</f>
        <v>-6.8492850773062628</v>
      </c>
      <c r="BH222" s="163">
        <f>(BG222/2)+BF210</f>
        <v>0</v>
      </c>
      <c r="BI222" s="154"/>
      <c r="BJ222" s="163">
        <f>(BH222*BF210)+BI215</f>
        <v>7.6764341364357165</v>
      </c>
      <c r="BK222" s="191">
        <f>BF218*BV223/BV223</f>
        <v>147.70647279529197</v>
      </c>
      <c r="BL222" s="191">
        <f>(BJ222+BK222)</f>
        <v>155.38290693172769</v>
      </c>
      <c r="BM222" s="149">
        <f>(BT223+BM220)/2</f>
        <v>1464.9121579827367</v>
      </c>
      <c r="BN222" s="149"/>
      <c r="BO222" s="149"/>
      <c r="BP222" s="149"/>
      <c r="BQ222" s="149"/>
      <c r="BR222" s="149"/>
      <c r="BS222" s="191">
        <f>(BT219+BM219+BT219)/3</f>
        <v>1304.339337957249</v>
      </c>
      <c r="BT222" s="152">
        <f>((BG213+BJ221)/2)*BV223/BV215</f>
        <v>618.79227013186164</v>
      </c>
      <c r="BU222" s="152">
        <f>BI218*BV223/BV215</f>
        <v>1208.2410674801149</v>
      </c>
      <c r="BV222" s="248">
        <f>((BV221*BV220*BH224*-1)*BV223*BV212*BV213)*-3.444</f>
        <v>-1.2207409032720402</v>
      </c>
      <c r="BW222" s="171"/>
      <c r="BX222" s="151"/>
      <c r="BY222" s="797"/>
      <c r="BZ222" s="797"/>
      <c r="CA222" s="797"/>
      <c r="CB222" s="797"/>
      <c r="CC222" s="797"/>
      <c r="CD222" s="797"/>
      <c r="CE222" s="797"/>
      <c r="CF222" s="797"/>
      <c r="CG222" s="797"/>
      <c r="CH222" s="797"/>
      <c r="CI222" s="797"/>
      <c r="CJ222" s="797"/>
      <c r="CK222" s="797"/>
      <c r="CL222" s="797"/>
      <c r="CM222" s="797"/>
      <c r="CN222" s="797"/>
      <c r="CO222" s="797"/>
      <c r="CP222" s="797"/>
      <c r="CQ222" s="797"/>
      <c r="CR222" s="797"/>
      <c r="CS222" s="797"/>
      <c r="CT222" s="797"/>
      <c r="CU222" s="797"/>
    </row>
    <row r="223" spans="1:99" x14ac:dyDescent="0.25">
      <c r="A223" s="163">
        <f>A210+A217</f>
        <v>-72.062678326510706</v>
      </c>
      <c r="B223" s="163">
        <f>(A224+(A222*-1)+A223)</f>
        <v>-144.12535665302141</v>
      </c>
      <c r="C223" s="154">
        <f>(B223/10)</f>
        <v>-14.412535665302141</v>
      </c>
      <c r="D223" s="154"/>
      <c r="E223" s="154">
        <f>((D219+B220)/2)*Q223</f>
        <v>353.09506817734524</v>
      </c>
      <c r="F223" s="149">
        <f>((E218+B220)/2)*Q223/Q215</f>
        <v>1237.7231386421836</v>
      </c>
      <c r="G223" s="149"/>
      <c r="H223" s="149">
        <f>(Q224/2)</f>
        <v>161.39909727894073</v>
      </c>
      <c r="I223" s="149"/>
      <c r="J223" s="149"/>
      <c r="K223" s="149"/>
      <c r="L223" s="149"/>
      <c r="M223" s="149"/>
      <c r="N223" s="191">
        <f>(Q224/2)/Q215</f>
        <v>495.08925545687339</v>
      </c>
      <c r="O223" s="152">
        <f>E218*Q223/Q215</f>
        <v>1984.5600825649465</v>
      </c>
      <c r="P223" s="152">
        <f>((B210+A213)/2)*Q223/Q215</f>
        <v>1018.9696523983375</v>
      </c>
      <c r="Q223" s="322">
        <f>ROUND(O216,N224)</f>
        <v>1.44</v>
      </c>
      <c r="R223" s="171"/>
      <c r="S223" s="151"/>
      <c r="T223" s="163">
        <f>T210+T217</f>
        <v>-74.66873044894561</v>
      </c>
      <c r="U223" s="163">
        <f>(T224+(T222*-1)+T223)</f>
        <v>-149.33746089789122</v>
      </c>
      <c r="V223" s="154">
        <f>(U223/10)</f>
        <v>-14.933746089789121</v>
      </c>
      <c r="W223" s="154"/>
      <c r="X223" s="154">
        <f>((W219+U220)/2)*AJ223</f>
        <v>194.47676784734108</v>
      </c>
      <c r="Y223" s="149">
        <f>((X218+U220)/2)*AJ223/AJ215</f>
        <v>1237.7231386421834</v>
      </c>
      <c r="Z223" s="149"/>
      <c r="AA223" s="149">
        <f>(AJ224/2)</f>
        <v>88.967539205600147</v>
      </c>
      <c r="AB223" s="149"/>
      <c r="AC223" s="149"/>
      <c r="AD223" s="149"/>
      <c r="AE223" s="149"/>
      <c r="AF223" s="149"/>
      <c r="AG223" s="191">
        <f>(AJ224/2)/AJ215</f>
        <v>495.08925545687339</v>
      </c>
      <c r="AH223" s="152">
        <f>X218*AJ223/AJ215</f>
        <v>1983.6956302664889</v>
      </c>
      <c r="AI223" s="152">
        <f>((U210+T213)/2)*AJ223/AJ215</f>
        <v>1020.1182207899469</v>
      </c>
      <c r="AJ223" s="322">
        <f>ROUND(AH216,AG224)</f>
        <v>0.79</v>
      </c>
      <c r="AK223" s="171"/>
      <c r="AL223" s="151"/>
      <c r="AM223" s="163">
        <f>AM210+AM217</f>
        <v>-74.040348368419018</v>
      </c>
      <c r="AN223" s="163">
        <f>(AM224+(AM222*-1)+AM223)</f>
        <v>-148.08069673683804</v>
      </c>
      <c r="AO223" s="154">
        <f>(AN223/10)</f>
        <v>-14.808069673683804</v>
      </c>
      <c r="AP223" s="154"/>
      <c r="AQ223" s="154">
        <f>((AP219+AN220)/2)*BC223</f>
        <v>443.88860832095304</v>
      </c>
      <c r="AR223" s="149">
        <f>((AQ218+AN220)/2)*BC223/BC215</f>
        <v>1556.784468220837</v>
      </c>
      <c r="AS223" s="149"/>
      <c r="AT223" s="149">
        <f>(BC224/2)</f>
        <v>203.00469465599713</v>
      </c>
      <c r="AU223" s="149"/>
      <c r="AV223" s="149"/>
      <c r="AW223" s="149"/>
      <c r="AX223" s="149"/>
      <c r="AY223" s="149"/>
      <c r="AZ223" s="191">
        <f>(BC224/2)/BC215</f>
        <v>622.71378728833474</v>
      </c>
      <c r="BA223" s="152">
        <f>AQ218*BC223/BC215</f>
        <v>2495.0261054926937</v>
      </c>
      <c r="BB223" s="152">
        <f>((AN210+AM213)/2)*BC223/BC215</f>
        <v>1282.9238588469416</v>
      </c>
      <c r="BC223" s="322">
        <f>ROUND(BA216,AZ224)</f>
        <v>1.81</v>
      </c>
      <c r="BD223" s="171"/>
      <c r="BE223" s="151"/>
      <c r="BF223" s="163">
        <f>BF210+BF217</f>
        <v>-72.672219817482414</v>
      </c>
      <c r="BG223" s="163">
        <f>(BF224+(BF222*-1)+BF223)</f>
        <v>-145.34443963496483</v>
      </c>
      <c r="BH223" s="154">
        <f>(BG223/10)</f>
        <v>-14.534443963496482</v>
      </c>
      <c r="BI223" s="154"/>
      <c r="BJ223" s="154">
        <f>((BI219+BG220)/2)*BV223</f>
        <v>244.78662434202792</v>
      </c>
      <c r="BK223" s="149">
        <f>((BJ218+BG220)/2)*BV223/BV215</f>
        <v>1556.784468220837</v>
      </c>
      <c r="BL223" s="149"/>
      <c r="BM223" s="149">
        <f>(BV224/2)</f>
        <v>111.90166757571376</v>
      </c>
      <c r="BN223" s="149"/>
      <c r="BO223" s="149"/>
      <c r="BP223" s="149"/>
      <c r="BQ223" s="149"/>
      <c r="BR223" s="149"/>
      <c r="BS223" s="191">
        <f>(BV224/2)/BV215</f>
        <v>622.71378728833474</v>
      </c>
      <c r="BT223" s="152">
        <f>BJ218*BV223/BV215</f>
        <v>2495.6195377713875</v>
      </c>
      <c r="BU223" s="152">
        <f>((BG210+BF213)/2)*BV223/BV215</f>
        <v>1282.1497807493081</v>
      </c>
      <c r="BV223" s="322">
        <f>ROUND(BT216,BS224)</f>
        <v>1</v>
      </c>
      <c r="BW223" s="171"/>
      <c r="BX223" s="151"/>
      <c r="BY223" s="797"/>
      <c r="BZ223" s="797"/>
      <c r="CA223" s="797"/>
      <c r="CB223" s="797"/>
      <c r="CC223" s="797"/>
      <c r="CD223" s="797"/>
      <c r="CE223" s="797"/>
      <c r="CF223" s="797"/>
      <c r="CG223" s="797"/>
      <c r="CH223" s="797"/>
      <c r="CI223" s="797"/>
      <c r="CJ223" s="797"/>
      <c r="CK223" s="797"/>
      <c r="CL223" s="797"/>
      <c r="CM223" s="797"/>
      <c r="CN223" s="797"/>
      <c r="CO223" s="797"/>
      <c r="CP223" s="797"/>
      <c r="CQ223" s="797"/>
      <c r="CR223" s="797"/>
      <c r="CS223" s="797"/>
      <c r="CT223" s="797"/>
      <c r="CU223" s="797"/>
    </row>
    <row r="224" spans="1:99" x14ac:dyDescent="0.25">
      <c r="A224" s="191">
        <f>(A222+A223)</f>
        <v>-151.73756665529703</v>
      </c>
      <c r="B224" s="149"/>
      <c r="C224" s="162">
        <f>INT(C217)-C217+N224</f>
        <v>1.1699643688877419</v>
      </c>
      <c r="D224" s="149"/>
      <c r="E224" s="191" t="s">
        <v>53</v>
      </c>
      <c r="F224" s="149">
        <f>((O224+B220+E218)/3)*Q223/Q215</f>
        <v>2511.1475477615436</v>
      </c>
      <c r="G224" s="149"/>
      <c r="H224" s="149">
        <f>ROUND(H223,2)</f>
        <v>161.4</v>
      </c>
      <c r="I224" s="149"/>
      <c r="J224" s="149"/>
      <c r="K224" s="149"/>
      <c r="L224" s="149"/>
      <c r="M224" s="149"/>
      <c r="N224" s="149">
        <v>2</v>
      </c>
      <c r="O224" s="152">
        <f>((B210+B220+E218)/3)*Q223/Q215</f>
        <v>1145.0741773028374</v>
      </c>
      <c r="P224" s="191">
        <f>(Q224/Q223)</f>
        <v>224.16541288741769</v>
      </c>
      <c r="Q224" s="152">
        <f>P210*Q215</f>
        <v>322.79819455788146</v>
      </c>
      <c r="R224" s="171"/>
      <c r="S224" s="151"/>
      <c r="T224" s="191">
        <f>(T222+T223)</f>
        <v>-155.41288303953655</v>
      </c>
      <c r="U224" s="149"/>
      <c r="V224" s="162">
        <f>INT(V217)-V217+AG224</f>
        <v>1.2565380217787059</v>
      </c>
      <c r="W224" s="149"/>
      <c r="X224" s="191" t="s">
        <v>53</v>
      </c>
      <c r="Y224" s="149">
        <f>((AH224+U220+X218)/3)*AJ223/AJ215</f>
        <v>2503.8985274516563</v>
      </c>
      <c r="Z224" s="149"/>
      <c r="AA224" s="149">
        <f>ROUND(AA223,2)</f>
        <v>88.97</v>
      </c>
      <c r="AB224" s="149"/>
      <c r="AC224" s="149"/>
      <c r="AD224" s="149"/>
      <c r="AE224" s="149"/>
      <c r="AF224" s="149"/>
      <c r="AG224" s="149">
        <v>2</v>
      </c>
      <c r="AH224" s="152">
        <f>((U210+U220+X218)/3)*AJ223/AJ215</f>
        <v>1145.5873419255531</v>
      </c>
      <c r="AI224" s="191">
        <f>(AJ224/AJ223)</f>
        <v>225.23427646987378</v>
      </c>
      <c r="AJ224" s="152">
        <f>AI210*AJ215</f>
        <v>177.93507841120029</v>
      </c>
      <c r="AK224" s="171"/>
      <c r="AL224" s="151"/>
      <c r="AM224" s="191">
        <f>(AM222+AM223)</f>
        <v>-154.09056089873638</v>
      </c>
      <c r="AN224" s="149"/>
      <c r="AO224" s="162">
        <f>INT(AO217)-AO217+AZ224</f>
        <v>1.3469422340632651</v>
      </c>
      <c r="AP224" s="149"/>
      <c r="AQ224" s="191" t="s">
        <v>53</v>
      </c>
      <c r="AR224" s="149">
        <f>((BA224+AN220+AQ218)/3)*BC223/BC215</f>
        <v>3704.66147665272</v>
      </c>
      <c r="AS224" s="149"/>
      <c r="AT224" s="149">
        <f>ROUND(AT223,2)</f>
        <v>203</v>
      </c>
      <c r="AU224" s="149"/>
      <c r="AV224" s="149"/>
      <c r="AW224" s="149"/>
      <c r="AX224" s="149"/>
      <c r="AY224" s="149"/>
      <c r="AZ224" s="149">
        <v>2</v>
      </c>
      <c r="BA224" s="152">
        <f>((AN210+AN220+AQ218)/3)*BC223/BC215</f>
        <v>1440.958812644406</v>
      </c>
      <c r="BB224" s="191">
        <f>(BC224/BC223)</f>
        <v>224.31457973038357</v>
      </c>
      <c r="BC224" s="152">
        <f>BB210*BC215</f>
        <v>406.00938931199425</v>
      </c>
      <c r="BD224" s="171"/>
      <c r="BE224" s="151"/>
      <c r="BF224" s="191">
        <f>(BF222+BF223)</f>
        <v>-152.19372471227109</v>
      </c>
      <c r="BG224" s="149"/>
      <c r="BH224" s="162">
        <f>INT(BH217)-BH217+BS224</f>
        <v>1.8317027351215724</v>
      </c>
      <c r="BI224" s="149"/>
      <c r="BJ224" s="191" t="s">
        <v>53</v>
      </c>
      <c r="BK224" s="149">
        <f>((BT224+BG220+BJ218)/3)*BV223/BV215</f>
        <v>3710.0939946562144</v>
      </c>
      <c r="BL224" s="149"/>
      <c r="BM224" s="149">
        <f>ROUND(BM223,2)</f>
        <v>111.9</v>
      </c>
      <c r="BN224" s="149"/>
      <c r="BO224" s="149"/>
      <c r="BP224" s="149"/>
      <c r="BQ224" s="149"/>
      <c r="BR224" s="149"/>
      <c r="BS224" s="149">
        <v>2</v>
      </c>
      <c r="BT224" s="152">
        <f>((BG210+BG220+BJ218)/3)*BV223/BV215</f>
        <v>1440.6033346405964</v>
      </c>
      <c r="BU224" s="191">
        <f>(BV224/BV223)</f>
        <v>223.80333515142752</v>
      </c>
      <c r="BV224" s="152">
        <f>BU210*BV215</f>
        <v>223.80333515142752</v>
      </c>
      <c r="BW224" s="171"/>
      <c r="BX224" s="151"/>
      <c r="BY224" s="797"/>
      <c r="BZ224" s="797"/>
      <c r="CA224" s="797"/>
      <c r="CB224" s="797"/>
      <c r="CC224" s="797"/>
      <c r="CD224" s="797"/>
      <c r="CE224" s="797"/>
      <c r="CF224" s="797"/>
      <c r="CG224" s="797"/>
      <c r="CH224" s="797"/>
      <c r="CI224" s="797"/>
      <c r="CJ224" s="797"/>
      <c r="CK224" s="797"/>
      <c r="CL224" s="797"/>
      <c r="CM224" s="797"/>
      <c r="CN224" s="797"/>
      <c r="CO224" s="797"/>
      <c r="CP224" s="797"/>
      <c r="CQ224" s="797"/>
      <c r="CR224" s="797"/>
      <c r="CS224" s="797"/>
      <c r="CT224" s="797"/>
      <c r="CU224" s="797"/>
    </row>
    <row r="225" spans="1:99" x14ac:dyDescent="0.25">
      <c r="A225" s="171"/>
      <c r="B225" s="171"/>
      <c r="C225" s="171"/>
      <c r="D225" s="171"/>
      <c r="E225" s="171"/>
      <c r="F225" s="171"/>
      <c r="G225" s="171"/>
      <c r="H225" s="171"/>
      <c r="I225" s="171"/>
      <c r="J225" s="171"/>
      <c r="K225" s="171"/>
      <c r="L225" s="171"/>
      <c r="M225" s="171"/>
      <c r="N225" s="171"/>
      <c r="O225" s="171"/>
      <c r="P225" s="171" t="s">
        <v>54</v>
      </c>
      <c r="Q225" s="171"/>
      <c r="R225" s="171"/>
      <c r="S225" s="151"/>
      <c r="T225" s="171"/>
      <c r="U225" s="171"/>
      <c r="V225" s="171"/>
      <c r="W225" s="171"/>
      <c r="X225" s="171"/>
      <c r="Y225" s="171"/>
      <c r="Z225" s="171"/>
      <c r="AA225" s="171"/>
      <c r="AB225" s="171"/>
      <c r="AC225" s="171"/>
      <c r="AD225" s="171"/>
      <c r="AE225" s="171"/>
      <c r="AF225" s="171"/>
      <c r="AG225" s="171"/>
      <c r="AH225" s="171"/>
      <c r="AI225" s="171" t="s">
        <v>54</v>
      </c>
      <c r="AJ225" s="171"/>
      <c r="AK225" s="171"/>
      <c r="AL225" s="151"/>
      <c r="AM225" s="171"/>
      <c r="AN225" s="171"/>
      <c r="AO225" s="171"/>
      <c r="AP225" s="171"/>
      <c r="AQ225" s="171"/>
      <c r="AR225" s="171"/>
      <c r="AS225" s="171"/>
      <c r="AT225" s="171"/>
      <c r="AU225" s="171"/>
      <c r="AV225" s="171"/>
      <c r="AW225" s="171"/>
      <c r="AX225" s="171"/>
      <c r="AY225" s="171"/>
      <c r="AZ225" s="171"/>
      <c r="BA225" s="171"/>
      <c r="BB225" s="171" t="s">
        <v>54</v>
      </c>
      <c r="BC225" s="171"/>
      <c r="BD225" s="171"/>
      <c r="BE225" s="151"/>
      <c r="BF225" s="171"/>
      <c r="BG225" s="171"/>
      <c r="BH225" s="171"/>
      <c r="BI225" s="171"/>
      <c r="BJ225" s="171"/>
      <c r="BK225" s="171"/>
      <c r="BL225" s="171"/>
      <c r="BM225" s="171"/>
      <c r="BN225" s="171"/>
      <c r="BO225" s="171"/>
      <c r="BP225" s="171"/>
      <c r="BQ225" s="171"/>
      <c r="BR225" s="171"/>
      <c r="BS225" s="171"/>
      <c r="BT225" s="171"/>
      <c r="BU225" s="171" t="s">
        <v>54</v>
      </c>
      <c r="BV225" s="171"/>
      <c r="BW225" s="171"/>
      <c r="BX225" s="151"/>
      <c r="BY225" s="797"/>
      <c r="BZ225" s="797"/>
      <c r="CA225" s="797"/>
      <c r="CB225" s="797"/>
      <c r="CC225" s="797"/>
      <c r="CD225" s="797"/>
      <c r="CE225" s="797"/>
      <c r="CF225" s="797"/>
      <c r="CG225" s="797"/>
      <c r="CH225" s="797"/>
      <c r="CI225" s="797"/>
      <c r="CJ225" s="797"/>
      <c r="CK225" s="797"/>
      <c r="CL225" s="797"/>
      <c r="CM225" s="797"/>
      <c r="CN225" s="797"/>
      <c r="CO225" s="797"/>
      <c r="CP225" s="797"/>
      <c r="CQ225" s="797"/>
      <c r="CR225" s="797"/>
      <c r="CS225" s="797"/>
      <c r="CT225" s="797"/>
      <c r="CU225" s="797"/>
    </row>
    <row r="226" spans="1:99" x14ac:dyDescent="0.25">
      <c r="A226" s="171"/>
      <c r="B226" s="171"/>
      <c r="C226" s="171"/>
      <c r="D226" s="171"/>
      <c r="E226" s="171"/>
      <c r="F226" s="171"/>
      <c r="G226" s="171"/>
      <c r="H226" s="171"/>
      <c r="I226" s="151"/>
      <c r="J226" s="151"/>
      <c r="K226" s="151"/>
      <c r="L226" s="151"/>
      <c r="M226" s="151"/>
      <c r="N226" s="171"/>
      <c r="O226" s="171"/>
      <c r="P226" s="171"/>
      <c r="Q226" s="171"/>
      <c r="R226" s="171"/>
      <c r="S226" s="151"/>
      <c r="T226" s="171"/>
      <c r="U226" s="171"/>
      <c r="V226" s="171"/>
      <c r="W226" s="171"/>
      <c r="X226" s="171"/>
      <c r="Y226" s="171"/>
      <c r="Z226" s="171"/>
      <c r="AA226" s="171"/>
      <c r="AB226" s="151"/>
      <c r="AC226" s="151"/>
      <c r="AD226" s="151"/>
      <c r="AE226" s="151"/>
      <c r="AF226" s="151"/>
      <c r="AG226" s="171"/>
      <c r="AH226" s="171"/>
      <c r="AI226" s="171"/>
      <c r="AJ226" s="171"/>
      <c r="AK226" s="171"/>
      <c r="AL226" s="151"/>
      <c r="AM226" s="171"/>
      <c r="AN226" s="171"/>
      <c r="AO226" s="171"/>
      <c r="AP226" s="171"/>
      <c r="AQ226" s="171"/>
      <c r="AR226" s="171"/>
      <c r="AS226" s="171"/>
      <c r="AT226" s="171"/>
      <c r="AU226" s="151"/>
      <c r="AV226" s="151"/>
      <c r="AW226" s="151"/>
      <c r="AX226" s="151"/>
      <c r="AY226" s="151"/>
      <c r="AZ226" s="171"/>
      <c r="BA226" s="171"/>
      <c r="BB226" s="171"/>
      <c r="BC226" s="171"/>
      <c r="BD226" s="171"/>
      <c r="BE226" s="151"/>
      <c r="BF226" s="171"/>
      <c r="BG226" s="171"/>
      <c r="BH226" s="171"/>
      <c r="BI226" s="171"/>
      <c r="BJ226" s="171"/>
      <c r="BK226" s="171"/>
      <c r="BL226" s="171"/>
      <c r="BM226" s="171"/>
      <c r="BN226" s="151"/>
      <c r="BO226" s="151"/>
      <c r="BP226" s="151"/>
      <c r="BQ226" s="151"/>
      <c r="BR226" s="151"/>
      <c r="BS226" s="171"/>
      <c r="BT226" s="171"/>
      <c r="BU226" s="171"/>
      <c r="BV226" s="171"/>
      <c r="BW226" s="171"/>
      <c r="BX226" s="151"/>
      <c r="BY226" s="797"/>
      <c r="BZ226" s="797"/>
      <c r="CA226" s="797"/>
      <c r="CB226" s="797"/>
      <c r="CC226" s="797"/>
      <c r="CD226" s="797"/>
      <c r="CE226" s="797"/>
      <c r="CF226" s="797"/>
      <c r="CG226" s="797"/>
      <c r="CH226" s="797"/>
      <c r="CI226" s="797"/>
      <c r="CJ226" s="797"/>
      <c r="CK226" s="797"/>
      <c r="CL226" s="797"/>
      <c r="CM226" s="797"/>
      <c r="CN226" s="797"/>
      <c r="CO226" s="797"/>
      <c r="CP226" s="797"/>
      <c r="CQ226" s="797"/>
      <c r="CR226" s="797"/>
      <c r="CS226" s="797"/>
      <c r="CT226" s="797"/>
      <c r="CU226" s="797"/>
    </row>
    <row r="227" spans="1:99" x14ac:dyDescent="0.25">
      <c r="A227" s="171"/>
      <c r="B227" s="171"/>
      <c r="C227" s="171"/>
      <c r="D227" s="171"/>
      <c r="E227" s="171"/>
      <c r="F227" s="171"/>
      <c r="G227" s="171"/>
      <c r="H227" s="171"/>
      <c r="I227" s="151"/>
      <c r="J227" s="151"/>
      <c r="K227" s="151"/>
      <c r="L227" s="151"/>
      <c r="M227" s="151"/>
      <c r="N227" s="171"/>
      <c r="O227" s="171"/>
      <c r="P227" s="171"/>
      <c r="Q227" s="171"/>
      <c r="R227" s="171"/>
      <c r="S227" s="151"/>
      <c r="T227" s="171"/>
      <c r="U227" s="171"/>
      <c r="V227" s="171"/>
      <c r="W227" s="171"/>
      <c r="X227" s="171"/>
      <c r="Y227" s="171"/>
      <c r="Z227" s="171"/>
      <c r="AA227" s="171"/>
      <c r="AB227" s="151"/>
      <c r="AC227" s="151"/>
      <c r="AD227" s="151"/>
      <c r="AE227" s="151"/>
      <c r="AF227" s="151"/>
      <c r="AG227" s="171"/>
      <c r="AH227" s="171"/>
      <c r="AI227" s="171"/>
      <c r="AJ227" s="171"/>
      <c r="AK227" s="171"/>
      <c r="AL227" s="151"/>
      <c r="AM227" s="171"/>
      <c r="AN227" s="171"/>
      <c r="AO227" s="171"/>
      <c r="AP227" s="171"/>
      <c r="AQ227" s="171"/>
      <c r="AR227" s="171"/>
      <c r="AS227" s="171"/>
      <c r="AT227" s="171"/>
      <c r="AU227" s="151"/>
      <c r="AV227" s="151"/>
      <c r="AW227" s="151"/>
      <c r="AX227" s="151"/>
      <c r="AY227" s="151"/>
      <c r="AZ227" s="171"/>
      <c r="BA227" s="171"/>
      <c r="BB227" s="171"/>
      <c r="BC227" s="171"/>
      <c r="BD227" s="171"/>
      <c r="BE227" s="151"/>
      <c r="BF227" s="171"/>
      <c r="BG227" s="171"/>
      <c r="BH227" s="171"/>
      <c r="BI227" s="171"/>
      <c r="BJ227" s="171"/>
      <c r="BK227" s="171"/>
      <c r="BL227" s="171"/>
      <c r="BM227" s="171"/>
      <c r="BN227" s="151"/>
      <c r="BO227" s="151"/>
      <c r="BP227" s="151"/>
      <c r="BQ227" s="151"/>
      <c r="BR227" s="151"/>
      <c r="BS227" s="171"/>
      <c r="BT227" s="171"/>
      <c r="BU227" s="171"/>
      <c r="BV227" s="171"/>
      <c r="BW227" s="171"/>
      <c r="BX227" s="151"/>
      <c r="BY227" s="797"/>
      <c r="BZ227" s="797"/>
      <c r="CA227" s="797"/>
      <c r="CB227" s="797"/>
      <c r="CC227" s="797"/>
      <c r="CD227" s="797"/>
      <c r="CE227" s="797"/>
      <c r="CF227" s="797"/>
      <c r="CG227" s="797"/>
      <c r="CH227" s="797"/>
      <c r="CI227" s="797"/>
      <c r="CJ227" s="797"/>
      <c r="CK227" s="797"/>
      <c r="CL227" s="797"/>
      <c r="CM227" s="797"/>
      <c r="CN227" s="797"/>
      <c r="CO227" s="797"/>
      <c r="CP227" s="797"/>
      <c r="CQ227" s="797"/>
      <c r="CR227" s="797"/>
      <c r="CS227" s="797"/>
      <c r="CT227" s="797"/>
      <c r="CU227" s="797"/>
    </row>
    <row r="228" spans="1:99" x14ac:dyDescent="0.25">
      <c r="A228" s="171"/>
      <c r="B228" s="171"/>
      <c r="C228" s="171"/>
      <c r="D228" s="171"/>
      <c r="E228" s="171"/>
      <c r="F228" s="171"/>
      <c r="G228" s="171"/>
      <c r="H228" s="171"/>
      <c r="I228" s="151"/>
      <c r="J228" s="151"/>
      <c r="K228" s="151"/>
      <c r="L228" s="151"/>
      <c r="M228" s="151"/>
      <c r="N228" s="171"/>
      <c r="O228" s="171"/>
      <c r="P228" s="171"/>
      <c r="Q228" s="171"/>
      <c r="R228" s="171"/>
      <c r="S228" s="151"/>
      <c r="T228" s="171"/>
      <c r="U228" s="171"/>
      <c r="V228" s="171"/>
      <c r="W228" s="171"/>
      <c r="X228" s="171"/>
      <c r="Y228" s="171"/>
      <c r="Z228" s="171"/>
      <c r="AA228" s="171"/>
      <c r="AB228" s="151"/>
      <c r="AC228" s="151"/>
      <c r="AD228" s="151"/>
      <c r="AE228" s="151"/>
      <c r="AF228" s="151"/>
      <c r="AG228" s="171"/>
      <c r="AH228" s="171"/>
      <c r="AI228" s="171"/>
      <c r="AJ228" s="171"/>
      <c r="AK228" s="171"/>
      <c r="AL228" s="151"/>
      <c r="AM228" s="171"/>
      <c r="AN228" s="171"/>
      <c r="AO228" s="171"/>
      <c r="AP228" s="171"/>
      <c r="AQ228" s="171"/>
      <c r="AR228" s="171"/>
      <c r="AS228" s="171"/>
      <c r="AT228" s="171"/>
      <c r="AU228" s="151"/>
      <c r="AV228" s="151"/>
      <c r="AW228" s="151"/>
      <c r="AX228" s="151"/>
      <c r="AY228" s="151"/>
      <c r="AZ228" s="171"/>
      <c r="BA228" s="171"/>
      <c r="BB228" s="171"/>
      <c r="BC228" s="171"/>
      <c r="BD228" s="171"/>
      <c r="BE228" s="151"/>
      <c r="BF228" s="171"/>
      <c r="BG228" s="171"/>
      <c r="BH228" s="171"/>
      <c r="BI228" s="171"/>
      <c r="BJ228" s="171"/>
      <c r="BK228" s="171"/>
      <c r="BL228" s="171"/>
      <c r="BM228" s="171"/>
      <c r="BN228" s="151"/>
      <c r="BO228" s="151"/>
      <c r="BP228" s="151"/>
      <c r="BQ228" s="151"/>
      <c r="BR228" s="151"/>
      <c r="BS228" s="171"/>
      <c r="BT228" s="171"/>
      <c r="BU228" s="171"/>
      <c r="BV228" s="171"/>
      <c r="BW228" s="171"/>
      <c r="BX228" s="151"/>
      <c r="BY228" s="797"/>
      <c r="BZ228" s="797"/>
      <c r="CA228" s="797"/>
      <c r="CB228" s="797"/>
      <c r="CC228" s="797"/>
      <c r="CD228" s="797"/>
      <c r="CE228" s="797"/>
      <c r="CF228" s="797"/>
      <c r="CG228" s="797"/>
      <c r="CH228" s="797"/>
      <c r="CI228" s="797"/>
      <c r="CJ228" s="797"/>
      <c r="CK228" s="797"/>
      <c r="CL228" s="797"/>
      <c r="CM228" s="797"/>
      <c r="CN228" s="797"/>
      <c r="CO228" s="797"/>
      <c r="CP228" s="797"/>
      <c r="CQ228" s="797"/>
      <c r="CR228" s="797"/>
      <c r="CS228" s="797"/>
      <c r="CT228" s="797"/>
      <c r="CU228" s="797"/>
    </row>
    <row r="229" spans="1:99" x14ac:dyDescent="0.25">
      <c r="A229" s="171"/>
      <c r="B229" s="171"/>
      <c r="C229" s="171"/>
      <c r="D229" s="171"/>
      <c r="E229" s="171"/>
      <c r="F229" s="171"/>
      <c r="G229" s="171"/>
      <c r="H229" s="171"/>
      <c r="I229" s="151"/>
      <c r="J229" s="151"/>
      <c r="K229" s="151"/>
      <c r="L229" s="151"/>
      <c r="M229" s="151"/>
      <c r="N229" s="171"/>
      <c r="O229" s="171"/>
      <c r="P229" s="171"/>
      <c r="Q229" s="171"/>
      <c r="R229" s="171"/>
      <c r="S229" s="151"/>
      <c r="T229" s="171"/>
      <c r="U229" s="171"/>
      <c r="V229" s="171"/>
      <c r="W229" s="171"/>
      <c r="X229" s="171"/>
      <c r="Y229" s="171"/>
      <c r="Z229" s="171"/>
      <c r="AA229" s="171"/>
      <c r="AB229" s="151"/>
      <c r="AC229" s="151"/>
      <c r="AD229" s="151"/>
      <c r="AE229" s="151"/>
      <c r="AF229" s="151"/>
      <c r="AG229" s="171"/>
      <c r="AH229" s="171"/>
      <c r="AI229" s="171"/>
      <c r="AJ229" s="171"/>
      <c r="AK229" s="171"/>
      <c r="AL229" s="151"/>
      <c r="AM229" s="171"/>
      <c r="AN229" s="171"/>
      <c r="AO229" s="171"/>
      <c r="AP229" s="171"/>
      <c r="AQ229" s="171"/>
      <c r="AR229" s="171"/>
      <c r="AS229" s="171"/>
      <c r="AT229" s="171"/>
      <c r="AU229" s="151"/>
      <c r="AV229" s="151"/>
      <c r="AW229" s="151"/>
      <c r="AX229" s="151"/>
      <c r="AY229" s="151"/>
      <c r="AZ229" s="171"/>
      <c r="BA229" s="171"/>
      <c r="BB229" s="171"/>
      <c r="BC229" s="171"/>
      <c r="BD229" s="171"/>
      <c r="BE229" s="151"/>
      <c r="BF229" s="171"/>
      <c r="BG229" s="171"/>
      <c r="BH229" s="171"/>
      <c r="BI229" s="171"/>
      <c r="BJ229" s="171"/>
      <c r="BK229" s="171"/>
      <c r="BL229" s="171"/>
      <c r="BM229" s="171"/>
      <c r="BN229" s="151"/>
      <c r="BO229" s="151"/>
      <c r="BP229" s="151"/>
      <c r="BQ229" s="151"/>
      <c r="BR229" s="151"/>
      <c r="BS229" s="171"/>
      <c r="BT229" s="171"/>
      <c r="BU229" s="171"/>
      <c r="BV229" s="171"/>
      <c r="BW229" s="171"/>
      <c r="BX229" s="151"/>
      <c r="BY229" s="797"/>
      <c r="BZ229" s="797"/>
      <c r="CA229" s="797"/>
      <c r="CB229" s="797"/>
      <c r="CC229" s="797"/>
      <c r="CD229" s="797"/>
      <c r="CE229" s="797"/>
      <c r="CF229" s="797"/>
      <c r="CG229" s="797"/>
      <c r="CH229" s="797"/>
      <c r="CI229" s="797"/>
      <c r="CJ229" s="797"/>
      <c r="CK229" s="797"/>
      <c r="CL229" s="797"/>
      <c r="CM229" s="797"/>
      <c r="CN229" s="797"/>
      <c r="CO229" s="797"/>
      <c r="CP229" s="797"/>
      <c r="CQ229" s="797"/>
      <c r="CR229" s="797"/>
      <c r="CS229" s="797"/>
      <c r="CT229" s="797"/>
      <c r="CU229" s="797"/>
    </row>
    <row r="230" spans="1:99" x14ac:dyDescent="0.25">
      <c r="A230" s="171"/>
      <c r="B230" s="171"/>
      <c r="C230" s="171"/>
      <c r="D230" s="171"/>
      <c r="E230" s="171"/>
      <c r="F230" s="171"/>
      <c r="G230" s="171"/>
      <c r="H230" s="171"/>
      <c r="I230" s="151"/>
      <c r="J230" s="151"/>
      <c r="K230" s="151"/>
      <c r="L230" s="151"/>
      <c r="M230" s="151"/>
      <c r="N230" s="171"/>
      <c r="O230" s="171"/>
      <c r="P230" s="171"/>
      <c r="Q230" s="171"/>
      <c r="R230" s="171"/>
      <c r="S230" s="151"/>
      <c r="T230" s="171"/>
      <c r="U230" s="171"/>
      <c r="V230" s="171"/>
      <c r="W230" s="171"/>
      <c r="X230" s="171"/>
      <c r="Y230" s="171"/>
      <c r="Z230" s="171"/>
      <c r="AA230" s="171"/>
      <c r="AB230" s="151"/>
      <c r="AC230" s="151"/>
      <c r="AD230" s="151"/>
      <c r="AE230" s="151"/>
      <c r="AF230" s="151"/>
      <c r="AG230" s="171"/>
      <c r="AH230" s="171"/>
      <c r="AI230" s="171"/>
      <c r="AJ230" s="171"/>
      <c r="AK230" s="171"/>
      <c r="AL230" s="151"/>
      <c r="AM230" s="171"/>
      <c r="AN230" s="171"/>
      <c r="AO230" s="171"/>
      <c r="AP230" s="171"/>
      <c r="AQ230" s="171"/>
      <c r="AR230" s="171"/>
      <c r="AS230" s="171"/>
      <c r="AT230" s="171"/>
      <c r="AU230" s="151"/>
      <c r="AV230" s="151"/>
      <c r="AW230" s="151"/>
      <c r="AX230" s="151"/>
      <c r="AY230" s="151"/>
      <c r="AZ230" s="171"/>
      <c r="BA230" s="171"/>
      <c r="BB230" s="171"/>
      <c r="BC230" s="171"/>
      <c r="BD230" s="171"/>
      <c r="BE230" s="151"/>
      <c r="BF230" s="171"/>
      <c r="BG230" s="171"/>
      <c r="BH230" s="171"/>
      <c r="BI230" s="171"/>
      <c r="BJ230" s="171"/>
      <c r="BK230" s="171"/>
      <c r="BL230" s="171"/>
      <c r="BM230" s="171"/>
      <c r="BN230" s="151"/>
      <c r="BO230" s="151"/>
      <c r="BP230" s="151"/>
      <c r="BQ230" s="151"/>
      <c r="BR230" s="151"/>
      <c r="BS230" s="171"/>
      <c r="BT230" s="171"/>
      <c r="BU230" s="171"/>
      <c r="BV230" s="171"/>
      <c r="BW230" s="171"/>
      <c r="BX230" s="151"/>
      <c r="BY230" s="797"/>
      <c r="BZ230" s="797"/>
      <c r="CA230" s="797"/>
      <c r="CB230" s="797"/>
      <c r="CC230" s="797"/>
      <c r="CD230" s="797"/>
      <c r="CE230" s="797"/>
      <c r="CF230" s="797"/>
      <c r="CG230" s="797"/>
      <c r="CH230" s="797"/>
      <c r="CI230" s="797"/>
      <c r="CJ230" s="797"/>
      <c r="CK230" s="797"/>
      <c r="CL230" s="797"/>
      <c r="CM230" s="797"/>
      <c r="CN230" s="797"/>
      <c r="CO230" s="797"/>
      <c r="CP230" s="797"/>
      <c r="CQ230" s="797"/>
      <c r="CR230" s="797"/>
      <c r="CS230" s="797"/>
      <c r="CT230" s="797"/>
      <c r="CU230" s="797"/>
    </row>
    <row r="231" spans="1:99" x14ac:dyDescent="0.25">
      <c r="A231" s="171"/>
      <c r="B231" s="171"/>
      <c r="C231" s="171"/>
      <c r="D231" s="171"/>
      <c r="E231" s="171"/>
      <c r="F231" s="171"/>
      <c r="G231" s="171"/>
      <c r="H231" s="171"/>
      <c r="I231" s="151"/>
      <c r="J231" s="151"/>
      <c r="K231" s="151"/>
      <c r="L231" s="151"/>
      <c r="M231" s="151"/>
      <c r="N231" s="171"/>
      <c r="O231" s="171"/>
      <c r="P231" s="171"/>
      <c r="Q231" s="171"/>
      <c r="R231" s="171"/>
      <c r="S231" s="151"/>
      <c r="T231" s="171"/>
      <c r="U231" s="171"/>
      <c r="V231" s="171"/>
      <c r="W231" s="171"/>
      <c r="X231" s="171"/>
      <c r="Y231" s="171"/>
      <c r="Z231" s="171"/>
      <c r="AA231" s="171"/>
      <c r="AB231" s="151"/>
      <c r="AC231" s="151"/>
      <c r="AD231" s="151"/>
      <c r="AE231" s="151"/>
      <c r="AF231" s="151"/>
      <c r="AG231" s="171"/>
      <c r="AH231" s="171"/>
      <c r="AI231" s="171"/>
      <c r="AJ231" s="171"/>
      <c r="AK231" s="171"/>
      <c r="AL231" s="151"/>
      <c r="AM231" s="171"/>
      <c r="AN231" s="171"/>
      <c r="AO231" s="171"/>
      <c r="AP231" s="171"/>
      <c r="AQ231" s="171"/>
      <c r="AR231" s="171"/>
      <c r="AS231" s="171"/>
      <c r="AT231" s="171"/>
      <c r="AU231" s="151"/>
      <c r="AV231" s="151"/>
      <c r="AW231" s="151"/>
      <c r="AX231" s="151"/>
      <c r="AY231" s="151"/>
      <c r="AZ231" s="171"/>
      <c r="BA231" s="171"/>
      <c r="BB231" s="171"/>
      <c r="BC231" s="171"/>
      <c r="BD231" s="171"/>
      <c r="BE231" s="151"/>
      <c r="BF231" s="171"/>
      <c r="BG231" s="171"/>
      <c r="BH231" s="171"/>
      <c r="BI231" s="171"/>
      <c r="BJ231" s="171"/>
      <c r="BK231" s="171"/>
      <c r="BL231" s="171"/>
      <c r="BM231" s="171"/>
      <c r="BN231" s="151"/>
      <c r="BO231" s="151"/>
      <c r="BP231" s="151"/>
      <c r="BQ231" s="151"/>
      <c r="BR231" s="151"/>
      <c r="BS231" s="171"/>
      <c r="BT231" s="171"/>
      <c r="BU231" s="171"/>
      <c r="BV231" s="171"/>
      <c r="BW231" s="171"/>
      <c r="BX231" s="151"/>
      <c r="BY231" s="797"/>
      <c r="BZ231" s="797"/>
      <c r="CA231" s="797"/>
      <c r="CB231" s="797"/>
      <c r="CC231" s="797"/>
      <c r="CD231" s="797"/>
      <c r="CE231" s="797"/>
      <c r="CF231" s="797"/>
      <c r="CG231" s="797"/>
      <c r="CH231" s="797"/>
      <c r="CI231" s="797"/>
      <c r="CJ231" s="797"/>
      <c r="CK231" s="797"/>
      <c r="CL231" s="797"/>
      <c r="CM231" s="797"/>
      <c r="CN231" s="797"/>
      <c r="CO231" s="797"/>
      <c r="CP231" s="797"/>
      <c r="CQ231" s="797"/>
      <c r="CR231" s="797"/>
      <c r="CS231" s="797"/>
      <c r="CT231" s="797"/>
      <c r="CU231" s="797"/>
    </row>
    <row r="232" spans="1:99" x14ac:dyDescent="0.25">
      <c r="A232" s="171"/>
      <c r="B232" s="171"/>
      <c r="C232" s="171"/>
      <c r="D232" s="171"/>
      <c r="E232" s="171"/>
      <c r="F232" s="171"/>
      <c r="G232" s="171"/>
      <c r="H232" s="171"/>
      <c r="I232" s="151"/>
      <c r="J232" s="151"/>
      <c r="K232" s="151"/>
      <c r="L232" s="151"/>
      <c r="M232" s="151"/>
      <c r="N232" s="171"/>
      <c r="O232" s="171"/>
      <c r="P232" s="171"/>
      <c r="Q232" s="171"/>
      <c r="R232" s="171"/>
      <c r="S232" s="151"/>
      <c r="T232" s="171"/>
      <c r="U232" s="171"/>
      <c r="V232" s="171"/>
      <c r="W232" s="171"/>
      <c r="X232" s="171"/>
      <c r="Y232" s="171"/>
      <c r="Z232" s="171"/>
      <c r="AA232" s="171"/>
      <c r="AB232" s="151"/>
      <c r="AC232" s="151"/>
      <c r="AD232" s="151"/>
      <c r="AE232" s="151"/>
      <c r="AF232" s="151"/>
      <c r="AG232" s="171"/>
      <c r="AH232" s="171"/>
      <c r="AI232" s="171"/>
      <c r="AJ232" s="171"/>
      <c r="AK232" s="171"/>
      <c r="AL232" s="151"/>
      <c r="AM232" s="171"/>
      <c r="AN232" s="171"/>
      <c r="AO232" s="171"/>
      <c r="AP232" s="171"/>
      <c r="AQ232" s="171"/>
      <c r="AR232" s="171"/>
      <c r="AS232" s="171"/>
      <c r="AT232" s="171"/>
      <c r="AU232" s="151"/>
      <c r="AV232" s="151"/>
      <c r="AW232" s="151"/>
      <c r="AX232" s="151"/>
      <c r="AY232" s="151"/>
      <c r="AZ232" s="171"/>
      <c r="BA232" s="171"/>
      <c r="BB232" s="171"/>
      <c r="BC232" s="171"/>
      <c r="BD232" s="171"/>
      <c r="BE232" s="151"/>
      <c r="BF232" s="171"/>
      <c r="BG232" s="171"/>
      <c r="BH232" s="171"/>
      <c r="BI232" s="171"/>
      <c r="BJ232" s="171"/>
      <c r="BK232" s="171"/>
      <c r="BL232" s="171"/>
      <c r="BM232" s="171"/>
      <c r="BN232" s="151"/>
      <c r="BO232" s="151"/>
      <c r="BP232" s="151"/>
      <c r="BQ232" s="151"/>
      <c r="BR232" s="151"/>
      <c r="BS232" s="171"/>
      <c r="BT232" s="171"/>
      <c r="BU232" s="171"/>
      <c r="BV232" s="171"/>
      <c r="BW232" s="171"/>
      <c r="BX232" s="151"/>
      <c r="BY232" s="797"/>
      <c r="BZ232" s="797"/>
      <c r="CA232" s="797"/>
      <c r="CB232" s="797"/>
      <c r="CC232" s="797"/>
      <c r="CD232" s="797"/>
      <c r="CE232" s="797"/>
      <c r="CF232" s="797"/>
      <c r="CG232" s="797"/>
      <c r="CH232" s="797"/>
      <c r="CI232" s="797"/>
      <c r="CJ232" s="797"/>
      <c r="CK232" s="797"/>
      <c r="CL232" s="797"/>
      <c r="CM232" s="797"/>
      <c r="CN232" s="797"/>
      <c r="CO232" s="797"/>
      <c r="CP232" s="797"/>
      <c r="CQ232" s="797"/>
      <c r="CR232" s="797"/>
      <c r="CS232" s="797"/>
      <c r="CT232" s="797"/>
      <c r="CU232" s="797"/>
    </row>
    <row r="233" spans="1:99" x14ac:dyDescent="0.25">
      <c r="A233" s="171"/>
      <c r="B233" s="171"/>
      <c r="C233" s="171"/>
      <c r="D233" s="171"/>
      <c r="E233" s="171"/>
      <c r="F233" s="171"/>
      <c r="G233" s="171"/>
      <c r="H233" s="171"/>
      <c r="I233" s="151"/>
      <c r="J233" s="151"/>
      <c r="K233" s="151"/>
      <c r="L233" s="151"/>
      <c r="M233" s="151"/>
      <c r="N233" s="171"/>
      <c r="O233" s="171"/>
      <c r="P233" s="171"/>
      <c r="Q233" s="171"/>
      <c r="R233" s="171"/>
      <c r="S233" s="151"/>
      <c r="T233" s="171"/>
      <c r="U233" s="171"/>
      <c r="V233" s="171"/>
      <c r="W233" s="171"/>
      <c r="X233" s="171"/>
      <c r="Y233" s="171"/>
      <c r="Z233" s="171"/>
      <c r="AA233" s="171"/>
      <c r="AB233" s="151"/>
      <c r="AC233" s="151"/>
      <c r="AD233" s="151"/>
      <c r="AE233" s="151"/>
      <c r="AF233" s="151"/>
      <c r="AG233" s="171"/>
      <c r="AH233" s="171"/>
      <c r="AI233" s="171"/>
      <c r="AJ233" s="171"/>
      <c r="AK233" s="171"/>
      <c r="AL233" s="151"/>
      <c r="AM233" s="171"/>
      <c r="AN233" s="171"/>
      <c r="AO233" s="171"/>
      <c r="AP233" s="171"/>
      <c r="AQ233" s="171"/>
      <c r="AR233" s="171"/>
      <c r="AS233" s="171"/>
      <c r="AT233" s="171"/>
      <c r="AU233" s="151"/>
      <c r="AV233" s="151"/>
      <c r="AW233" s="151"/>
      <c r="AX233" s="151"/>
      <c r="AY233" s="151"/>
      <c r="AZ233" s="171"/>
      <c r="BA233" s="171"/>
      <c r="BB233" s="171"/>
      <c r="BC233" s="171"/>
      <c r="BD233" s="171"/>
      <c r="BE233" s="151"/>
      <c r="BF233" s="171"/>
      <c r="BG233" s="171"/>
      <c r="BH233" s="171"/>
      <c r="BI233" s="171"/>
      <c r="BJ233" s="171"/>
      <c r="BK233" s="171"/>
      <c r="BL233" s="171"/>
      <c r="BM233" s="171"/>
      <c r="BN233" s="151"/>
      <c r="BO233" s="151"/>
      <c r="BP233" s="151"/>
      <c r="BQ233" s="151"/>
      <c r="BR233" s="151"/>
      <c r="BS233" s="171"/>
      <c r="BT233" s="171"/>
      <c r="BU233" s="171"/>
      <c r="BV233" s="171"/>
      <c r="BW233" s="171"/>
      <c r="BX233" s="151"/>
      <c r="BY233" s="797"/>
      <c r="BZ233" s="797"/>
      <c r="CA233" s="797"/>
      <c r="CB233" s="797"/>
      <c r="CC233" s="797"/>
      <c r="CD233" s="797"/>
      <c r="CE233" s="797"/>
      <c r="CF233" s="797"/>
      <c r="CG233" s="797"/>
      <c r="CH233" s="797"/>
      <c r="CI233" s="797"/>
      <c r="CJ233" s="797"/>
      <c r="CK233" s="797"/>
      <c r="CL233" s="797"/>
      <c r="CM233" s="797"/>
      <c r="CN233" s="797"/>
      <c r="CO233" s="797"/>
      <c r="CP233" s="797"/>
      <c r="CQ233" s="797"/>
      <c r="CR233" s="797"/>
      <c r="CS233" s="797"/>
      <c r="CT233" s="797"/>
      <c r="CU233" s="797"/>
    </row>
    <row r="234" spans="1:99" x14ac:dyDescent="0.25">
      <c r="A234" s="152">
        <f>P249</f>
        <v>224.78982907930464</v>
      </c>
      <c r="B234" s="154">
        <f>(A234*10^0.125)</f>
        <v>299.76205480958311</v>
      </c>
      <c r="C234" s="154">
        <f>INT(B234)</f>
        <v>299</v>
      </c>
      <c r="D234" s="154">
        <f>C234*4</f>
        <v>1196</v>
      </c>
      <c r="E234" s="154">
        <f>D234/5</f>
        <v>239.2</v>
      </c>
      <c r="F234" s="149">
        <f>E234^2</f>
        <v>57216.639999999992</v>
      </c>
      <c r="G234" s="149">
        <f>(F234^0.125)</f>
        <v>3.9326952517764404</v>
      </c>
      <c r="H234" s="149">
        <f>G234/3</f>
        <v>1.3108984172588134</v>
      </c>
      <c r="I234" s="149">
        <f>(H234*100)</f>
        <v>131.08984172588134</v>
      </c>
      <c r="J234" s="149">
        <f>(F234/100)</f>
        <v>572.16639999999995</v>
      </c>
      <c r="K234" s="149">
        <f>(J234+I234)/2</f>
        <v>351.62812086294065</v>
      </c>
      <c r="L234" s="149">
        <f>(K234+I234)/2</f>
        <v>241.358981294411</v>
      </c>
      <c r="M234" s="149">
        <f>(L234+A234)/2</f>
        <v>233.0744051868578</v>
      </c>
      <c r="N234" s="149">
        <f>M234*100^0.5</f>
        <v>2330.744051868578</v>
      </c>
      <c r="O234" s="149">
        <f>INT(N234)/10</f>
        <v>233</v>
      </c>
      <c r="P234" s="149">
        <f>(O234)^2/10000</f>
        <v>5.4288999999999996</v>
      </c>
      <c r="Q234" s="149">
        <f>(P234+I234+M234)/3</f>
        <v>123.19771563757972</v>
      </c>
      <c r="R234" s="150">
        <f>Q239^0.5</f>
        <v>31.927371044724204</v>
      </c>
      <c r="S234" s="151"/>
      <c r="T234" s="152">
        <f>AI249</f>
        <v>224.66550304444482</v>
      </c>
      <c r="U234" s="154">
        <f>(T234*10^0.125)</f>
        <v>299.59626337752167</v>
      </c>
      <c r="V234" s="154">
        <f>INT(U234)</f>
        <v>299</v>
      </c>
      <c r="W234" s="154">
        <f>V234*4</f>
        <v>1196</v>
      </c>
      <c r="X234" s="154">
        <f>W234/5</f>
        <v>239.2</v>
      </c>
      <c r="Y234" s="149">
        <f>X234^2</f>
        <v>57216.639999999992</v>
      </c>
      <c r="Z234" s="149">
        <f>(Y234^0.125)</f>
        <v>3.9326952517764404</v>
      </c>
      <c r="AA234" s="149">
        <f>Z234/3</f>
        <v>1.3108984172588134</v>
      </c>
      <c r="AB234" s="149">
        <f>(AA234*100)</f>
        <v>131.08984172588134</v>
      </c>
      <c r="AC234" s="149">
        <f>(Y234/100)</f>
        <v>572.16639999999995</v>
      </c>
      <c r="AD234" s="149">
        <f>(AC234+AB234)/2</f>
        <v>351.62812086294065</v>
      </c>
      <c r="AE234" s="149">
        <f>(AD234+AB234)/2</f>
        <v>241.358981294411</v>
      </c>
      <c r="AF234" s="149">
        <f>(AE234+T234)/2</f>
        <v>233.01224216942791</v>
      </c>
      <c r="AG234" s="149">
        <f>AF234*100^0.5</f>
        <v>2330.1224216942792</v>
      </c>
      <c r="AH234" s="149">
        <f>INT(AG234)/10</f>
        <v>233</v>
      </c>
      <c r="AI234" s="149">
        <f>(AH234)^2/10000</f>
        <v>5.4288999999999996</v>
      </c>
      <c r="AJ234" s="149">
        <f>(AI234+AB234+AF234)/3</f>
        <v>123.17699463176974</v>
      </c>
      <c r="AK234" s="150">
        <f>AJ239^0.5</f>
        <v>31.927371044724204</v>
      </c>
      <c r="AL234" s="151"/>
      <c r="AM234" s="152">
        <f>BB249</f>
        <v>224.68698910459008</v>
      </c>
      <c r="AN234" s="154">
        <f>(AM234*10^0.125)</f>
        <v>299.62491549921816</v>
      </c>
      <c r="AO234" s="154">
        <f>INT(AN234)</f>
        <v>299</v>
      </c>
      <c r="AP234" s="154">
        <f>AO234*4</f>
        <v>1196</v>
      </c>
      <c r="AQ234" s="154">
        <f>AP234/5</f>
        <v>239.2</v>
      </c>
      <c r="AR234" s="149">
        <f>AQ234^2</f>
        <v>57216.639999999992</v>
      </c>
      <c r="AS234" s="149">
        <f>(AR234^0.125)</f>
        <v>3.9326952517764404</v>
      </c>
      <c r="AT234" s="149">
        <f>AS234/3</f>
        <v>1.3108984172588134</v>
      </c>
      <c r="AU234" s="149">
        <f>(AT234*100)</f>
        <v>131.08984172588134</v>
      </c>
      <c r="AV234" s="149">
        <f>(AR234/100)</f>
        <v>572.16639999999995</v>
      </c>
      <c r="AW234" s="149">
        <f>(AV234+AU234)/2</f>
        <v>351.62812086294065</v>
      </c>
      <c r="AX234" s="149">
        <f>(AW234+AU234)/2</f>
        <v>241.358981294411</v>
      </c>
      <c r="AY234" s="149">
        <f>(AX234+AM234)/2</f>
        <v>233.02298519950054</v>
      </c>
      <c r="AZ234" s="149">
        <f>AY234*100^0.5</f>
        <v>2330.2298519950054</v>
      </c>
      <c r="BA234" s="149">
        <f>INT(AZ234)/10</f>
        <v>233</v>
      </c>
      <c r="BB234" s="149">
        <f>(BA234)^2/10000</f>
        <v>5.4288999999999996</v>
      </c>
      <c r="BC234" s="149">
        <f>(BB234+AU234+AY234)/3</f>
        <v>123.18057564179396</v>
      </c>
      <c r="BD234" s="150">
        <f>BC239^0.5</f>
        <v>35.578858176638263</v>
      </c>
      <c r="BE234" s="151"/>
      <c r="BF234" s="152">
        <f>BU249</f>
        <v>224.70214372633285</v>
      </c>
      <c r="BG234" s="154">
        <f>(BF234*10^0.125)</f>
        <v>299.64512451210845</v>
      </c>
      <c r="BH234" s="154">
        <f>INT(BG234)</f>
        <v>299</v>
      </c>
      <c r="BI234" s="154">
        <f>BH234*4</f>
        <v>1196</v>
      </c>
      <c r="BJ234" s="154">
        <f>BI234/5</f>
        <v>239.2</v>
      </c>
      <c r="BK234" s="149">
        <f>BJ234^2</f>
        <v>57216.639999999992</v>
      </c>
      <c r="BL234" s="149">
        <f>(BK234^0.125)</f>
        <v>3.9326952517764404</v>
      </c>
      <c r="BM234" s="149">
        <f>BL234/3</f>
        <v>1.3108984172588134</v>
      </c>
      <c r="BN234" s="149">
        <f>(BM234*100)</f>
        <v>131.08984172588134</v>
      </c>
      <c r="BO234" s="149">
        <f>(BK234/100)</f>
        <v>572.16639999999995</v>
      </c>
      <c r="BP234" s="149">
        <f>(BO234+BN234)/2</f>
        <v>351.62812086294065</v>
      </c>
      <c r="BQ234" s="149">
        <f>(BP234+BN234)/2</f>
        <v>241.358981294411</v>
      </c>
      <c r="BR234" s="149">
        <f>(BQ234+BF234)/2</f>
        <v>233.03056251037191</v>
      </c>
      <c r="BS234" s="149">
        <f>BR234*100^0.5</f>
        <v>2330.3056251037192</v>
      </c>
      <c r="BT234" s="149">
        <f>INT(BS234)/10</f>
        <v>233</v>
      </c>
      <c r="BU234" s="149">
        <f>(BT234)^2/10000</f>
        <v>5.4288999999999996</v>
      </c>
      <c r="BV234" s="149">
        <f>(BU234+BN234+BR234)/3</f>
        <v>123.18310141208441</v>
      </c>
      <c r="BW234" s="150">
        <f>BV239^0.5</f>
        <v>35.578858176638263</v>
      </c>
      <c r="BX234" s="151"/>
      <c r="BY234" s="797"/>
      <c r="BZ234" s="797"/>
      <c r="CA234" s="797"/>
      <c r="CB234" s="797"/>
      <c r="CC234" s="797"/>
      <c r="CD234" s="797"/>
      <c r="CE234" s="797"/>
      <c r="CF234" s="797"/>
      <c r="CG234" s="797"/>
      <c r="CH234" s="797"/>
      <c r="CI234" s="797"/>
      <c r="CJ234" s="797"/>
      <c r="CK234" s="797"/>
      <c r="CL234" s="797"/>
      <c r="CM234" s="797"/>
      <c r="CN234" s="797"/>
      <c r="CO234" s="797"/>
      <c r="CP234" s="797"/>
      <c r="CQ234" s="797"/>
      <c r="CR234" s="797"/>
      <c r="CS234" s="797"/>
      <c r="CT234" s="797"/>
      <c r="CU234" s="797"/>
    </row>
    <row r="235" spans="1:99" x14ac:dyDescent="0.25">
      <c r="A235" s="163">
        <f>(O236-O235)</f>
        <v>3.5631931886383654</v>
      </c>
      <c r="B235" s="154">
        <f>(B236+A237)/2</f>
        <v>217.99374743076373</v>
      </c>
      <c r="C235" s="164">
        <f>(D237*C237*B237*C236*D236*A235)</f>
        <v>13108763139091.33</v>
      </c>
      <c r="D235" s="154">
        <f>(C236*C235*A235)</f>
        <v>14191827500.569798</v>
      </c>
      <c r="E235" s="163">
        <f>INT(A235+1)</f>
        <v>4</v>
      </c>
      <c r="F235" s="165">
        <f>(Q247*-1)</f>
        <v>898.45219163688955</v>
      </c>
      <c r="G235" s="161"/>
      <c r="H235" s="152">
        <f>IF(F235&lt;0,1,-1)</f>
        <v>-1</v>
      </c>
      <c r="I235" s="161"/>
      <c r="J235" s="161"/>
      <c r="K235" s="161"/>
      <c r="L235" s="161"/>
      <c r="M235" s="161"/>
      <c r="N235" s="161">
        <f>(M234+O234)/2</f>
        <v>233.0372025934289</v>
      </c>
      <c r="O235" s="161">
        <f>N235-A234</f>
        <v>8.2473735141242628</v>
      </c>
      <c r="P235" s="161">
        <f>(Q239+R237)/2</f>
        <v>990.17851091374678</v>
      </c>
      <c r="Q235" s="162">
        <f>(Q238*A235*100)</f>
        <v>-738.01229367725875</v>
      </c>
      <c r="R235" s="150">
        <f>INT(R234)</f>
        <v>31</v>
      </c>
      <c r="S235" s="151"/>
      <c r="T235" s="163">
        <f>(AH236-AH235)</f>
        <v>3.3689337591698916</v>
      </c>
      <c r="U235" s="154">
        <f>(U236+T237)/2</f>
        <v>217.96849370493283</v>
      </c>
      <c r="V235" s="164">
        <f>(W237*V237*U237*V236*W236*T235)</f>
        <v>7070659792745.998</v>
      </c>
      <c r="W235" s="154">
        <f>(V236*V235*T235)</f>
        <v>8270286393.9486856</v>
      </c>
      <c r="X235" s="163">
        <f>INT(T235+1)</f>
        <v>4</v>
      </c>
      <c r="Y235" s="165">
        <f>(AJ247*-1)</f>
        <v>267.30967062721356</v>
      </c>
      <c r="Z235" s="161"/>
      <c r="AA235" s="152">
        <f>IF(Y235&lt;0,1,-1)</f>
        <v>-1</v>
      </c>
      <c r="AB235" s="161"/>
      <c r="AC235" s="161"/>
      <c r="AD235" s="161"/>
      <c r="AE235" s="161"/>
      <c r="AF235" s="161"/>
      <c r="AG235" s="161">
        <f>(AF234+AH234)/2</f>
        <v>233.00612108471395</v>
      </c>
      <c r="AH235" s="161">
        <f>AG235-T234</f>
        <v>8.3406180402691348</v>
      </c>
      <c r="AI235" s="161">
        <f>(AJ239+AK237)/2</f>
        <v>990.17851091374678</v>
      </c>
      <c r="AJ235" s="162">
        <f>(AJ238*T235*100)</f>
        <v>-624.67979177071641</v>
      </c>
      <c r="AK235" s="150">
        <f>INT(AK234)</f>
        <v>31</v>
      </c>
      <c r="AL235" s="151"/>
      <c r="AM235" s="163">
        <f>(BA236-BA235)</f>
        <v>3.4025057281468207</v>
      </c>
      <c r="AN235" s="154">
        <f>(AN236+AM237)/2</f>
        <v>217.97285806089985</v>
      </c>
      <c r="AO235" s="164">
        <f>(AP237*AO237*AN237*AO236*AP236*AM235)</f>
        <v>7884595894960.2051</v>
      </c>
      <c r="AP235" s="154">
        <f>(AO236*AO235*AM235)</f>
        <v>9097664933.3579273</v>
      </c>
      <c r="AQ235" s="163">
        <f>INT(AM235+1)</f>
        <v>4</v>
      </c>
      <c r="AR235" s="165">
        <f>(BC247*-1)</f>
        <v>681.22530966686361</v>
      </c>
      <c r="AS235" s="161"/>
      <c r="AT235" s="152">
        <f>IF(AR235&lt;0,1,-1)</f>
        <v>-1</v>
      </c>
      <c r="AU235" s="161"/>
      <c r="AV235" s="161"/>
      <c r="AW235" s="161"/>
      <c r="AX235" s="161"/>
      <c r="AY235" s="161"/>
      <c r="AZ235" s="161">
        <f>(AY234+BA234)/2</f>
        <v>233.01149259975028</v>
      </c>
      <c r="BA235" s="161">
        <f>AZ235-AM234</f>
        <v>8.3245034951602008</v>
      </c>
      <c r="BB235" s="161">
        <f>(BC239+BD237)/2</f>
        <v>1245.4275745766695</v>
      </c>
      <c r="BC235" s="162">
        <f>(BC238*AM235*100)</f>
        <v>-643.57675468588809</v>
      </c>
      <c r="BD235" s="150">
        <f>INT(BD234)</f>
        <v>35</v>
      </c>
      <c r="BE235" s="151"/>
      <c r="BF235" s="163">
        <f>(BT236-BT235)</f>
        <v>3.4261848246199236</v>
      </c>
      <c r="BG235" s="154">
        <f>(BG236+BF237)/2</f>
        <v>217.97593634344136</v>
      </c>
      <c r="BH235" s="164">
        <f>(BI237*BH237*BG237*BH236*BI236*BF235)</f>
        <v>8509428548770.165</v>
      </c>
      <c r="BI235" s="154">
        <f>(BH236*BH235*BF235)</f>
        <v>9725452544.6003723</v>
      </c>
      <c r="BJ235" s="163">
        <f>INT(BF235+1)</f>
        <v>4</v>
      </c>
      <c r="BK235" s="165">
        <f>(BV247*-1)</f>
        <v>405.5342496250305</v>
      </c>
      <c r="BL235" s="161"/>
      <c r="BM235" s="152">
        <f>IF(BK235&lt;0,1,-1)</f>
        <v>-1</v>
      </c>
      <c r="BN235" s="161"/>
      <c r="BO235" s="161"/>
      <c r="BP235" s="161"/>
      <c r="BQ235" s="161"/>
      <c r="BR235" s="161"/>
      <c r="BS235" s="161">
        <f>(BR234+BT234)/2</f>
        <v>233.01528125518595</v>
      </c>
      <c r="BT235" s="161">
        <f>BS235-BF234</f>
        <v>8.3131375288531046</v>
      </c>
      <c r="BU235" s="161">
        <f>(BV239+BW237)/2</f>
        <v>1245.4275745766695</v>
      </c>
      <c r="BV235" s="162">
        <f>(BV238*BF235*100)</f>
        <v>-657.07872185906876</v>
      </c>
      <c r="BW235" s="150">
        <f>INT(BW234)</f>
        <v>35</v>
      </c>
      <c r="BX235" s="151"/>
      <c r="BY235" s="797"/>
      <c r="BZ235" s="797"/>
      <c r="CA235" s="797"/>
      <c r="CB235" s="797"/>
      <c r="CC235" s="797"/>
      <c r="CD235" s="797"/>
      <c r="CE235" s="797"/>
      <c r="CF235" s="797"/>
      <c r="CG235" s="797"/>
      <c r="CH235" s="797"/>
      <c r="CI235" s="797"/>
      <c r="CJ235" s="797"/>
      <c r="CK235" s="797"/>
      <c r="CL235" s="797"/>
      <c r="CM235" s="797"/>
      <c r="CN235" s="797"/>
      <c r="CO235" s="797"/>
      <c r="CP235" s="797"/>
      <c r="CQ235" s="797"/>
      <c r="CR235" s="797"/>
      <c r="CS235" s="797"/>
      <c r="CT235" s="797"/>
      <c r="CU235" s="797"/>
    </row>
    <row r="236" spans="1:99" x14ac:dyDescent="0.25">
      <c r="A236" s="163">
        <f>N235</f>
        <v>233.0372025934289</v>
      </c>
      <c r="B236" s="163">
        <f>(N235+N237)/2</f>
        <v>223.00823248498546</v>
      </c>
      <c r="C236" s="154">
        <f>(A235/D237)</f>
        <v>3.0383460637209062E-4</v>
      </c>
      <c r="D236" s="154">
        <f>(A235+B237+C237+D237)</f>
        <v>26749.648750423563</v>
      </c>
      <c r="E236" s="173">
        <f>(E235*C237)</f>
        <v>13165.057291404804</v>
      </c>
      <c r="F236" s="174"/>
      <c r="G236" s="161"/>
      <c r="H236" s="161"/>
      <c r="I236" s="161"/>
      <c r="J236" s="161"/>
      <c r="K236" s="161"/>
      <c r="L236" s="161"/>
      <c r="M236" s="161">
        <f>(N235+N237)/2</f>
        <v>223.00823248498546</v>
      </c>
      <c r="N236" s="161">
        <f>(I234+N235)/2</f>
        <v>182.06352215965512</v>
      </c>
      <c r="O236" s="161">
        <f>A234-N237</f>
        <v>11.810566702762628</v>
      </c>
      <c r="P236" s="161"/>
      <c r="Q236" s="149"/>
      <c r="R236" s="171"/>
      <c r="S236" s="151"/>
      <c r="T236" s="163">
        <f>AG235</f>
        <v>233.00612108471395</v>
      </c>
      <c r="U236" s="163">
        <f>(AG235+AG237)/2</f>
        <v>222.98103616485986</v>
      </c>
      <c r="V236" s="154">
        <f>(T235/W237)</f>
        <v>3.4719074179284003E-4</v>
      </c>
      <c r="W236" s="154">
        <f>(T235+U237+V237+W237)</f>
        <v>22290.448014216832</v>
      </c>
      <c r="X236" s="173">
        <f>(X235*V237)</f>
        <v>11521.044539795648</v>
      </c>
      <c r="Y236" s="174"/>
      <c r="Z236" s="161"/>
      <c r="AA236" s="161"/>
      <c r="AB236" s="161"/>
      <c r="AC236" s="161"/>
      <c r="AD236" s="161"/>
      <c r="AE236" s="161"/>
      <c r="AF236" s="161">
        <f>(AG235+AG237)/2</f>
        <v>222.98103616485986</v>
      </c>
      <c r="AG236" s="161">
        <f>(AB234+AG235)/2</f>
        <v>182.04798140529766</v>
      </c>
      <c r="AH236" s="161">
        <f>T234-AG237</f>
        <v>11.709551799439026</v>
      </c>
      <c r="AI236" s="161"/>
      <c r="AJ236" s="149"/>
      <c r="AK236" s="171"/>
      <c r="AL236" s="151"/>
      <c r="AM236" s="163">
        <f>AZ235</f>
        <v>233.01149259975028</v>
      </c>
      <c r="AN236" s="163">
        <f>(AZ235+AZ237)/2</f>
        <v>222.98573624051667</v>
      </c>
      <c r="AO236" s="154">
        <f>(AM235/AP237)</f>
        <v>3.3911861757831999E-4</v>
      </c>
      <c r="AP236" s="154">
        <f>(AM235+AN237+AO237+AP237)</f>
        <v>23018.98186857767</v>
      </c>
      <c r="AQ236" s="173">
        <f>(AQ235*AO237)</f>
        <v>11795.282808606618</v>
      </c>
      <c r="AR236" s="174"/>
      <c r="AS236" s="161"/>
      <c r="AT236" s="161"/>
      <c r="AU236" s="161"/>
      <c r="AV236" s="161"/>
      <c r="AW236" s="161"/>
      <c r="AX236" s="161"/>
      <c r="AY236" s="161">
        <f>(AZ235+AZ237)/2</f>
        <v>222.98573624051667</v>
      </c>
      <c r="AZ236" s="161">
        <f>(AU234+AZ235)/2</f>
        <v>182.05066716281581</v>
      </c>
      <c r="BA236" s="161">
        <f>AM234-AZ237</f>
        <v>11.727009223307022</v>
      </c>
      <c r="BB236" s="161"/>
      <c r="BC236" s="149"/>
      <c r="BD236" s="171"/>
      <c r="BE236" s="151"/>
      <c r="BF236" s="163">
        <f>BS235</f>
        <v>233.01528125518595</v>
      </c>
      <c r="BG236" s="163">
        <f>(BS235+BS237)/2</f>
        <v>222.9890513140229</v>
      </c>
      <c r="BH236" s="154">
        <f>(BF235/BI237)</f>
        <v>3.3357894890473404E-4</v>
      </c>
      <c r="BI236" s="154">
        <f>(BF235+BG237+BH237+BI237)</f>
        <v>23543.189934971771</v>
      </c>
      <c r="BJ236" s="173">
        <f>(BJ235*BH237)</f>
        <v>11991.164349949282</v>
      </c>
      <c r="BK236" s="174"/>
      <c r="BL236" s="161"/>
      <c r="BM236" s="161"/>
      <c r="BN236" s="161"/>
      <c r="BO236" s="161"/>
      <c r="BP236" s="161"/>
      <c r="BQ236" s="161"/>
      <c r="BR236" s="161">
        <f>(BS235+BS237)/2</f>
        <v>222.9890513140229</v>
      </c>
      <c r="BS236" s="161">
        <f>(BN234+BS235)/2</f>
        <v>182.05256149053366</v>
      </c>
      <c r="BT236" s="161">
        <f>BF234-BS237</f>
        <v>11.739322353473028</v>
      </c>
      <c r="BU236" s="161"/>
      <c r="BV236" s="149"/>
      <c r="BW236" s="171"/>
      <c r="BX236" s="151"/>
      <c r="BY236" s="797"/>
      <c r="BZ236" s="797"/>
      <c r="CA236" s="797"/>
      <c r="CB236" s="797"/>
      <c r="CC236" s="797"/>
      <c r="CD236" s="797"/>
      <c r="CE236" s="797"/>
      <c r="CF236" s="797"/>
      <c r="CG236" s="797"/>
      <c r="CH236" s="797"/>
      <c r="CI236" s="797"/>
      <c r="CJ236" s="797"/>
      <c r="CK236" s="797"/>
      <c r="CL236" s="797"/>
      <c r="CM236" s="797"/>
      <c r="CN236" s="797"/>
      <c r="CO236" s="797"/>
      <c r="CP236" s="797"/>
      <c r="CQ236" s="797"/>
      <c r="CR236" s="797"/>
      <c r="CS236" s="797"/>
      <c r="CT236" s="797"/>
      <c r="CU236" s="797"/>
    </row>
    <row r="237" spans="1:99" x14ac:dyDescent="0.25">
      <c r="A237" s="277">
        <f>N237</f>
        <v>212.97926237654201</v>
      </c>
      <c r="B237" s="154">
        <f>G243</f>
        <v>11727.410617191861</v>
      </c>
      <c r="C237" s="154">
        <f>(B237/A235)</f>
        <v>3291.2643228512011</v>
      </c>
      <c r="D237" s="154">
        <f>(A235*C237)</f>
        <v>11727.410617191861</v>
      </c>
      <c r="E237" s="163">
        <f>INT(A235)+1</f>
        <v>4</v>
      </c>
      <c r="F237" s="174">
        <f>(Q247)</f>
        <v>-898.45219163688955</v>
      </c>
      <c r="G237" s="161"/>
      <c r="H237" s="152">
        <f>IF(F235&gt;0,-1,1)</f>
        <v>-1</v>
      </c>
      <c r="I237" s="161"/>
      <c r="J237" s="161"/>
      <c r="K237" s="161"/>
      <c r="L237" s="161"/>
      <c r="M237" s="161">
        <f>(N236+P234*2)</f>
        <v>192.92132215965512</v>
      </c>
      <c r="N237" s="161">
        <f>(N235+M237)/2</f>
        <v>212.97926237654201</v>
      </c>
      <c r="O237" s="161">
        <f>(N236+J234)/2</f>
        <v>377.11496107982754</v>
      </c>
      <c r="P237" s="152">
        <f>IF(Q247&gt;1,-1,1)</f>
        <v>1</v>
      </c>
      <c r="Q237" s="162">
        <f>F245-F242</f>
        <v>-4.0475181559838127</v>
      </c>
      <c r="R237" s="150">
        <f>R235^2</f>
        <v>961</v>
      </c>
      <c r="S237" s="151"/>
      <c r="T237" s="277">
        <f>AG237</f>
        <v>212.95595124500579</v>
      </c>
      <c r="U237" s="154">
        <f>Z243</f>
        <v>9703.408972754376</v>
      </c>
      <c r="V237" s="154">
        <f>(U237/T235)</f>
        <v>2880.2611349489121</v>
      </c>
      <c r="W237" s="154">
        <f>(T235*V237)</f>
        <v>9703.408972754376</v>
      </c>
      <c r="X237" s="163">
        <f>INT(T235)+1</f>
        <v>4</v>
      </c>
      <c r="Y237" s="174">
        <f>(AJ247)</f>
        <v>-267.30967062721356</v>
      </c>
      <c r="Z237" s="161"/>
      <c r="AA237" s="152">
        <f>IF(Y235&gt;0,-1,1)</f>
        <v>-1</v>
      </c>
      <c r="AB237" s="161"/>
      <c r="AC237" s="161"/>
      <c r="AD237" s="161"/>
      <c r="AE237" s="161"/>
      <c r="AF237" s="161">
        <f>(AG236+AI234*2)</f>
        <v>192.90578140529766</v>
      </c>
      <c r="AG237" s="161">
        <f>(AG235+AF237)/2</f>
        <v>212.95595124500579</v>
      </c>
      <c r="AH237" s="161">
        <f>(AG236+AC234)/2</f>
        <v>377.10719070264884</v>
      </c>
      <c r="AI237" s="152">
        <f>IF(AJ247&gt;1,-1,1)</f>
        <v>1</v>
      </c>
      <c r="AJ237" s="162">
        <f>Y245-Y242</f>
        <v>-3.8151341248747883</v>
      </c>
      <c r="AK237" s="150">
        <f>AK235^2</f>
        <v>961</v>
      </c>
      <c r="AL237" s="151"/>
      <c r="AM237" s="277">
        <f>AZ237</f>
        <v>212.95997988128306</v>
      </c>
      <c r="AN237" s="154">
        <f>AS243</f>
        <v>10033.379330348935</v>
      </c>
      <c r="AO237" s="154">
        <f>(AN237/AM235)</f>
        <v>2948.8207021516546</v>
      </c>
      <c r="AP237" s="154">
        <f>(AM235*AO237)</f>
        <v>10033.379330348935</v>
      </c>
      <c r="AQ237" s="163">
        <f>INT(AM235)+1</f>
        <v>4</v>
      </c>
      <c r="AR237" s="174">
        <f>(BC247)</f>
        <v>-681.22530966686361</v>
      </c>
      <c r="AS237" s="161"/>
      <c r="AT237" s="152">
        <f>IF(AR235&gt;0,-1,1)</f>
        <v>-1</v>
      </c>
      <c r="AU237" s="161"/>
      <c r="AV237" s="161"/>
      <c r="AW237" s="161"/>
      <c r="AX237" s="161"/>
      <c r="AY237" s="161">
        <f>(AZ236+BB234*2)</f>
        <v>192.90846716281581</v>
      </c>
      <c r="AZ237" s="161">
        <f>(AZ235+AY237)/2</f>
        <v>212.95997988128306</v>
      </c>
      <c r="BA237" s="161">
        <f>(AZ236+AV234)/2</f>
        <v>377.10853358140787</v>
      </c>
      <c r="BB237" s="152">
        <f>IF(BC247&gt;1,-1,1)</f>
        <v>1</v>
      </c>
      <c r="BC237" s="162">
        <f>AR245-AR242</f>
        <v>-3.8551681523421868</v>
      </c>
      <c r="BD237" s="150">
        <f>BD235^2</f>
        <v>1225</v>
      </c>
      <c r="BE237" s="151"/>
      <c r="BF237" s="277">
        <f>BS237</f>
        <v>212.96282137285982</v>
      </c>
      <c r="BG237" s="154">
        <f>BL243</f>
        <v>10270.986331329916</v>
      </c>
      <c r="BH237" s="154">
        <f>(BG237/BF235)</f>
        <v>2997.7910874873205</v>
      </c>
      <c r="BI237" s="154">
        <f>(BF235*BH237)</f>
        <v>10270.986331329916</v>
      </c>
      <c r="BJ237" s="163">
        <f>INT(BF235)+1</f>
        <v>4</v>
      </c>
      <c r="BK237" s="174">
        <f>(BV247)</f>
        <v>-405.5342496250305</v>
      </c>
      <c r="BL237" s="161"/>
      <c r="BM237" s="152">
        <f>IF(BK235&gt;0,-1,1)</f>
        <v>-1</v>
      </c>
      <c r="BN237" s="161"/>
      <c r="BO237" s="161"/>
      <c r="BP237" s="161"/>
      <c r="BQ237" s="161"/>
      <c r="BR237" s="161">
        <f>(BS236+BU234*2)</f>
        <v>192.91036149053366</v>
      </c>
      <c r="BS237" s="161">
        <f>(BS235+BR237)/2</f>
        <v>212.96282137285982</v>
      </c>
      <c r="BT237" s="161">
        <f>(BS236+BO234)/2</f>
        <v>377.10948074526681</v>
      </c>
      <c r="BU237" s="152">
        <f>IF(BV247&gt;1,-1,1)</f>
        <v>1</v>
      </c>
      <c r="BV237" s="162">
        <f>BK245-BK242</f>
        <v>-3.8834385464183745</v>
      </c>
      <c r="BW237" s="150">
        <f>BW235^2</f>
        <v>1225</v>
      </c>
      <c r="BX237" s="151"/>
      <c r="BY237" s="797"/>
      <c r="BZ237" s="797"/>
      <c r="CA237" s="797"/>
      <c r="CB237" s="797"/>
      <c r="CC237" s="797"/>
      <c r="CD237" s="797"/>
      <c r="CE237" s="797"/>
      <c r="CF237" s="797"/>
      <c r="CG237" s="797"/>
      <c r="CH237" s="797"/>
      <c r="CI237" s="797"/>
      <c r="CJ237" s="797"/>
      <c r="CK237" s="797"/>
      <c r="CL237" s="797"/>
      <c r="CM237" s="797"/>
      <c r="CN237" s="797"/>
      <c r="CO237" s="797"/>
      <c r="CP237" s="797"/>
      <c r="CQ237" s="797"/>
      <c r="CR237" s="797"/>
      <c r="CS237" s="797"/>
      <c r="CT237" s="797"/>
      <c r="CU237" s="797"/>
    </row>
    <row r="238" spans="1:99" x14ac:dyDescent="0.25">
      <c r="A238" s="277">
        <f>(O236+O235)+A234</f>
        <v>244.84776929619153</v>
      </c>
      <c r="B238" s="154">
        <f>(A236+B236)/2</f>
        <v>228.02271753920718</v>
      </c>
      <c r="C238" s="163">
        <f>(C236)</f>
        <v>3.0383460637209062E-4</v>
      </c>
      <c r="D238" s="154">
        <f>(D235*D236*D237*B237*A235)</f>
        <v>1.8603730521581197E+23</v>
      </c>
      <c r="E238" s="154">
        <f>(C238*A235)</f>
        <v>1.0826213998976523E-3</v>
      </c>
      <c r="F238" s="161">
        <f>(F240/O240)*O241-F241</f>
        <v>-895.99096049168406</v>
      </c>
      <c r="G238" s="161"/>
      <c r="H238" s="161"/>
      <c r="I238" s="161"/>
      <c r="J238" s="161"/>
      <c r="K238" s="161"/>
      <c r="L238" s="161"/>
      <c r="M238" s="161"/>
      <c r="N238" s="164">
        <f>(F238+Q247)*F241</f>
        <v>-1612221.3827977255</v>
      </c>
      <c r="O238" s="152">
        <f>H237</f>
        <v>-1</v>
      </c>
      <c r="P238" s="152">
        <f>IF(Q247&lt;100,1,-1)</f>
        <v>1</v>
      </c>
      <c r="Q238" s="162">
        <f>Q237+F245</f>
        <v>-2.0712104413268762</v>
      </c>
      <c r="R238" s="171"/>
      <c r="S238" s="151"/>
      <c r="T238" s="277">
        <f>(AH236+AH235)+T234</f>
        <v>244.71567288415298</v>
      </c>
      <c r="U238" s="154">
        <f>(T236+U236)/2</f>
        <v>227.99357862478689</v>
      </c>
      <c r="V238" s="163">
        <f>(V236)</f>
        <v>3.4719074179284003E-4</v>
      </c>
      <c r="W238" s="154">
        <f>(W235*W236*W237*U237*T235)</f>
        <v>5.8476381480187249E+22</v>
      </c>
      <c r="X238" s="154">
        <f>(V238*T235)</f>
        <v>1.1696626108971357E-3</v>
      </c>
      <c r="Y238" s="161">
        <f>(Y240/AH240)*AH241-Y241</f>
        <v>-266.12976633519844</v>
      </c>
      <c r="Z238" s="161"/>
      <c r="AA238" s="161"/>
      <c r="AB238" s="161"/>
      <c r="AC238" s="161"/>
      <c r="AD238" s="161"/>
      <c r="AE238" s="161"/>
      <c r="AF238" s="161"/>
      <c r="AG238" s="164">
        <f>(Y238+AJ247)*Y241</f>
        <v>-142593.5201939886</v>
      </c>
      <c r="AH238" s="152">
        <f>AA237</f>
        <v>-1</v>
      </c>
      <c r="AI238" s="152">
        <f>IF(AJ247&lt;100,1,-1)</f>
        <v>1</v>
      </c>
      <c r="AJ238" s="162">
        <f>AJ237+Y245</f>
        <v>-1.854235899030078</v>
      </c>
      <c r="AK238" s="171"/>
      <c r="AL238" s="151"/>
      <c r="AM238" s="277">
        <f>(BA236+BA235)+AM234</f>
        <v>244.73850182305731</v>
      </c>
      <c r="AN238" s="154">
        <f>(AM236+AN236)/2</f>
        <v>227.99861442013349</v>
      </c>
      <c r="AO238" s="163">
        <f>(AO236)</f>
        <v>3.3911861757831999E-4</v>
      </c>
      <c r="AP238" s="154">
        <f>(AP235*AP236*AP237*AN237*AM235)</f>
        <v>7.1731411587277326E+22</v>
      </c>
      <c r="AQ238" s="154">
        <f>(AO238*AM235)</f>
        <v>1.153853038831465E-3</v>
      </c>
      <c r="AR238" s="161">
        <f>(AR240/BA240)*BA241-AR241</f>
        <v>-678.46607024151797</v>
      </c>
      <c r="AS238" s="161"/>
      <c r="AT238" s="161"/>
      <c r="AU238" s="161"/>
      <c r="AV238" s="161"/>
      <c r="AW238" s="161"/>
      <c r="AX238" s="161"/>
      <c r="AY238" s="161"/>
      <c r="AZ238" s="164">
        <f>(AR238+BC247)*AR241</f>
        <v>-926256.18132945232</v>
      </c>
      <c r="BA238" s="152">
        <f>AT237</f>
        <v>-1</v>
      </c>
      <c r="BB238" s="152">
        <f>IF(BC247&lt;100,1,-1)</f>
        <v>1</v>
      </c>
      <c r="BC238" s="162">
        <f>BC237+AR245</f>
        <v>-1.891478827976619</v>
      </c>
      <c r="BD238" s="171"/>
      <c r="BE238" s="151"/>
      <c r="BF238" s="277">
        <f>(BT236+BT235)+BF234</f>
        <v>244.75460360865898</v>
      </c>
      <c r="BG238" s="154">
        <f>(BF236+BG236)/2</f>
        <v>228.00216628460441</v>
      </c>
      <c r="BH238" s="163">
        <f>(BH236)</f>
        <v>3.3357894890473404E-4</v>
      </c>
      <c r="BI238" s="154">
        <f>(BI235*BI236*BI237*BG237*BF235)</f>
        <v>8.2758043532731861E+22</v>
      </c>
      <c r="BJ238" s="154">
        <f>(BH238*BF235)</f>
        <v>1.1429031325500647E-3</v>
      </c>
      <c r="BK238" s="161">
        <f>(BK240/BT240)*BT241-BK241</f>
        <v>-403.98682500195127</v>
      </c>
      <c r="BL238" s="161"/>
      <c r="BM238" s="161"/>
      <c r="BN238" s="161"/>
      <c r="BO238" s="161"/>
      <c r="BP238" s="161"/>
      <c r="BQ238" s="161"/>
      <c r="BR238" s="161"/>
      <c r="BS238" s="164">
        <f>(BK238+BV247)*BK241</f>
        <v>-328288.52155450138</v>
      </c>
      <c r="BT238" s="152">
        <f>BM237</f>
        <v>-1</v>
      </c>
      <c r="BU238" s="152">
        <f>IF(BV247&lt;100,1,-1)</f>
        <v>1</v>
      </c>
      <c r="BV238" s="162">
        <f>BV237+BK245</f>
        <v>-1.9178145823816157</v>
      </c>
      <c r="BW238" s="171"/>
      <c r="BX238" s="151"/>
      <c r="BY238" s="797"/>
      <c r="BZ238" s="797"/>
      <c r="CA238" s="797"/>
      <c r="CB238" s="797"/>
      <c r="CC238" s="797"/>
      <c r="CD238" s="797"/>
      <c r="CE238" s="797"/>
      <c r="CF238" s="797"/>
      <c r="CG238" s="797"/>
      <c r="CH238" s="797"/>
      <c r="CI238" s="797"/>
      <c r="CJ238" s="797"/>
      <c r="CK238" s="797"/>
      <c r="CL238" s="797"/>
      <c r="CM238" s="797"/>
      <c r="CN238" s="797"/>
      <c r="CO238" s="797"/>
      <c r="CP238" s="797"/>
      <c r="CQ238" s="797"/>
      <c r="CR238" s="797"/>
      <c r="CS238" s="797"/>
      <c r="CT238" s="797"/>
      <c r="CU238" s="797"/>
    </row>
    <row r="239" spans="1:99" x14ac:dyDescent="0.25">
      <c r="A239" s="277">
        <f>(O236*-1-O235)+A234</f>
        <v>204.73188886241775</v>
      </c>
      <c r="B239" s="154">
        <f>(B236+B235)/2</f>
        <v>220.50098995787459</v>
      </c>
      <c r="C239" s="154">
        <f>(B235+A237)/2</f>
        <v>215.48650490365287</v>
      </c>
      <c r="D239" s="154">
        <f>D235</f>
        <v>14191827500.569798</v>
      </c>
      <c r="E239" s="154">
        <f>(B236+A234)/2</f>
        <v>223.89903078214505</v>
      </c>
      <c r="F239" s="161">
        <f>(F241/O241)</f>
        <v>625.46272895652464</v>
      </c>
      <c r="G239" s="161"/>
      <c r="H239" s="161"/>
      <c r="I239" s="161"/>
      <c r="J239" s="161"/>
      <c r="K239" s="161"/>
      <c r="L239" s="161"/>
      <c r="M239" s="161"/>
      <c r="N239" s="161"/>
      <c r="O239" s="152">
        <f>H235</f>
        <v>-1</v>
      </c>
      <c r="P239" s="152">
        <f>IF(Q247&lt;0,-1,1)</f>
        <v>-1</v>
      </c>
      <c r="Q239" s="174">
        <f>Q214</f>
        <v>1019.3570218274934</v>
      </c>
      <c r="R239" s="171"/>
      <c r="S239" s="151"/>
      <c r="T239" s="277">
        <f>(AH236*-1-AH235)+T234</f>
        <v>204.61533320473666</v>
      </c>
      <c r="U239" s="154">
        <f>(U236+U235)/2</f>
        <v>220.47476493489634</v>
      </c>
      <c r="V239" s="154">
        <f>(U235+T237)/2</f>
        <v>215.46222247496931</v>
      </c>
      <c r="W239" s="154">
        <f>W235</f>
        <v>8270286393.9486856</v>
      </c>
      <c r="X239" s="154">
        <f>(U236+T234)/2</f>
        <v>223.82326960465235</v>
      </c>
      <c r="Y239" s="161">
        <f>(Y241/AH241)</f>
        <v>337.58339274469938</v>
      </c>
      <c r="Z239" s="161"/>
      <c r="AA239" s="161"/>
      <c r="AB239" s="161"/>
      <c r="AC239" s="161"/>
      <c r="AD239" s="161"/>
      <c r="AE239" s="161"/>
      <c r="AF239" s="161"/>
      <c r="AG239" s="161"/>
      <c r="AH239" s="152">
        <f>AA235</f>
        <v>-1</v>
      </c>
      <c r="AI239" s="152">
        <f>IF(AJ247&lt;0,-1,1)</f>
        <v>-1</v>
      </c>
      <c r="AJ239" s="174">
        <f>AJ214</f>
        <v>1019.3570218274934</v>
      </c>
      <c r="AK239" s="171"/>
      <c r="AL239" s="151"/>
      <c r="AM239" s="277">
        <f>(BA236*-1-BA235)+AM234</f>
        <v>204.63547638612286</v>
      </c>
      <c r="AN239" s="154">
        <f>(AN236+AN235)/2</f>
        <v>220.47929715070825</v>
      </c>
      <c r="AO239" s="154">
        <f>(AN235+AM237)/2</f>
        <v>215.46641897109146</v>
      </c>
      <c r="AP239" s="154">
        <f>AP235</f>
        <v>9097664933.3579273</v>
      </c>
      <c r="AQ239" s="154">
        <f>(AN236+AM234)/2</f>
        <v>223.83636267255338</v>
      </c>
      <c r="AR239" s="161">
        <f>(AR241/BA241)</f>
        <v>377.05502278566644</v>
      </c>
      <c r="AS239" s="161"/>
      <c r="AT239" s="161"/>
      <c r="AU239" s="161"/>
      <c r="AV239" s="161"/>
      <c r="AW239" s="161"/>
      <c r="AX239" s="161"/>
      <c r="AY239" s="161"/>
      <c r="AZ239" s="161"/>
      <c r="BA239" s="152">
        <f>AT235</f>
        <v>-1</v>
      </c>
      <c r="BB239" s="152">
        <f>IF(BC247&lt;0,-1,1)</f>
        <v>-1</v>
      </c>
      <c r="BC239" s="174">
        <f>BC214</f>
        <v>1265.8551491533392</v>
      </c>
      <c r="BD239" s="171"/>
      <c r="BE239" s="151"/>
      <c r="BF239" s="277">
        <f>(BT236*-1-BT235)+BF234</f>
        <v>204.64968384400672</v>
      </c>
      <c r="BG239" s="154">
        <f>(BG236+BG235)/2</f>
        <v>220.48249382873212</v>
      </c>
      <c r="BH239" s="154">
        <f>(BG235+BF237)/2</f>
        <v>215.46937885815061</v>
      </c>
      <c r="BI239" s="154">
        <f>BI235</f>
        <v>9725452544.6003723</v>
      </c>
      <c r="BJ239" s="154">
        <f>(BG236+BF234)/2</f>
        <v>223.84559752017788</v>
      </c>
      <c r="BK239" s="161">
        <f>(BK241/BT241)</f>
        <v>407.19969638323789</v>
      </c>
      <c r="BL239" s="161"/>
      <c r="BM239" s="161"/>
      <c r="BN239" s="161"/>
      <c r="BO239" s="161"/>
      <c r="BP239" s="161"/>
      <c r="BQ239" s="161"/>
      <c r="BR239" s="161"/>
      <c r="BS239" s="161"/>
      <c r="BT239" s="152">
        <f>BM235</f>
        <v>-1</v>
      </c>
      <c r="BU239" s="152">
        <f>IF(BV247&lt;0,-1,1)</f>
        <v>-1</v>
      </c>
      <c r="BV239" s="174">
        <f>BV214</f>
        <v>1265.8551491533392</v>
      </c>
      <c r="BW239" s="171"/>
      <c r="BX239" s="151"/>
      <c r="BY239" s="797"/>
      <c r="BZ239" s="797"/>
      <c r="CA239" s="797"/>
      <c r="CB239" s="797"/>
      <c r="CC239" s="797"/>
      <c r="CD239" s="797"/>
      <c r="CE239" s="797"/>
      <c r="CF239" s="797"/>
      <c r="CG239" s="797"/>
      <c r="CH239" s="797"/>
      <c r="CI239" s="797"/>
      <c r="CJ239" s="797"/>
      <c r="CK239" s="797"/>
      <c r="CL239" s="797"/>
      <c r="CM239" s="797"/>
      <c r="CN239" s="797"/>
      <c r="CO239" s="797"/>
      <c r="CP239" s="797"/>
      <c r="CQ239" s="797"/>
      <c r="CR239" s="797"/>
      <c r="CS239" s="797"/>
      <c r="CT239" s="797"/>
      <c r="CU239" s="797"/>
    </row>
    <row r="240" spans="1:99" x14ac:dyDescent="0.25">
      <c r="A240" s="163">
        <f>(A239-A238)+A234-A236</f>
        <v>-48.363253947898045</v>
      </c>
      <c r="B240" s="163">
        <f>(A240*-1)+A241</f>
        <v>20.057940216886891</v>
      </c>
      <c r="C240" s="163">
        <f>(B240/2)+A235</f>
        <v>13.592163297081811</v>
      </c>
      <c r="D240" s="163">
        <f>(C248+C241+B247+B240+A235)*-1</f>
        <v>7.7989786593852486</v>
      </c>
      <c r="E240" s="163">
        <f>(C240*A235)*D240</f>
        <v>377.71626363463304</v>
      </c>
      <c r="F240" s="152">
        <f>(E240*A235)</f>
        <v>1345.8760178208577</v>
      </c>
      <c r="G240" s="152">
        <f>(F240+E240)</f>
        <v>1723.5922814554906</v>
      </c>
      <c r="H240" s="161"/>
      <c r="I240" s="161"/>
      <c r="J240" s="161"/>
      <c r="K240" s="161"/>
      <c r="L240" s="161"/>
      <c r="M240" s="161"/>
      <c r="N240" s="161"/>
      <c r="O240" s="161">
        <v>785.5</v>
      </c>
      <c r="P240" s="152">
        <f>IF(N238&gt;-1,1,-1)</f>
        <v>-1</v>
      </c>
      <c r="Q240" s="149">
        <f>Q192</f>
        <v>0.32600000000000001</v>
      </c>
      <c r="R240" s="171"/>
      <c r="S240" s="151"/>
      <c r="T240" s="163">
        <f>(T239-T238)+T234-T236</f>
        <v>-48.440957719685457</v>
      </c>
      <c r="U240" s="163">
        <f>(T240*-1)+T241</f>
        <v>20.050169839708161</v>
      </c>
      <c r="V240" s="163">
        <f>(U240/2)+T235</f>
        <v>13.394018679023972</v>
      </c>
      <c r="W240" s="163">
        <f>(V248+V241+U247+U240+T235)*-1</f>
        <v>7.6995178314973955</v>
      </c>
      <c r="X240" s="163">
        <f>(V240*T235)*W240</f>
        <v>347.42966791993655</v>
      </c>
      <c r="Y240" s="152">
        <f>(X240*T235)</f>
        <v>1170.4675371926589</v>
      </c>
      <c r="Z240" s="152">
        <f>(Y240+X240)</f>
        <v>1517.8972051125954</v>
      </c>
      <c r="AA240" s="161"/>
      <c r="AB240" s="161"/>
      <c r="AC240" s="161"/>
      <c r="AD240" s="161"/>
      <c r="AE240" s="161"/>
      <c r="AF240" s="161"/>
      <c r="AG240" s="161"/>
      <c r="AH240" s="161">
        <v>785.5</v>
      </c>
      <c r="AI240" s="152">
        <f>IF(AG238&gt;-1,1,-1)</f>
        <v>-1</v>
      </c>
      <c r="AJ240" s="149">
        <f>AJ192</f>
        <v>0.1797</v>
      </c>
      <c r="AK240" s="171"/>
      <c r="AL240" s="151"/>
      <c r="AM240" s="163">
        <f>(AM239-AM238)+AM234-AM236</f>
        <v>-48.427528932094646</v>
      </c>
      <c r="AN240" s="163">
        <f>(AM240*-1)+AM241</f>
        <v>20.051512718467222</v>
      </c>
      <c r="AO240" s="163">
        <f>(AN240/2)+AM235</f>
        <v>13.428262087380432</v>
      </c>
      <c r="AP240" s="163">
        <f>(AO248+AO241+AN247+AN240+AM235)*-1</f>
        <v>7.7167066796135764</v>
      </c>
      <c r="AQ240" s="163">
        <f>(AO240*AM235)*AP240</f>
        <v>352.5743115951496</v>
      </c>
      <c r="AR240" s="152">
        <f>(AQ240*AM235)</f>
        <v>1199.6361147999185</v>
      </c>
      <c r="AS240" s="152">
        <f>(AR240+AQ240)</f>
        <v>1552.210426395068</v>
      </c>
      <c r="AT240" s="161"/>
      <c r="AU240" s="161"/>
      <c r="AV240" s="161"/>
      <c r="AW240" s="161"/>
      <c r="AX240" s="161"/>
      <c r="AY240" s="161"/>
      <c r="AZ240" s="161"/>
      <c r="BA240" s="161">
        <v>785.5</v>
      </c>
      <c r="BB240" s="152">
        <f>IF(AZ238&gt;-1,1,-1)</f>
        <v>-1</v>
      </c>
      <c r="BC240" s="149">
        <f>BC192</f>
        <v>0.32600000000000001</v>
      </c>
      <c r="BD240" s="171"/>
      <c r="BE240" s="151"/>
      <c r="BF240" s="163">
        <f>(BF239-BF238)+BF234-BF236</f>
        <v>-48.41805729350537</v>
      </c>
      <c r="BG240" s="163">
        <f>(BF240*-1)+BF241</f>
        <v>20.052459882326133</v>
      </c>
      <c r="BH240" s="163">
        <f>(BG240/2)+BF235</f>
        <v>13.45241476578299</v>
      </c>
      <c r="BI240" s="163">
        <f>(BH248+BH241+BG247+BG240+BF235)*-1</f>
        <v>7.7288303770078031</v>
      </c>
      <c r="BJ240" s="163">
        <f>(BH240*BF235)*BI240</f>
        <v>356.22534212144683</v>
      </c>
      <c r="BK240" s="152">
        <f>(BJ240*BF235)</f>
        <v>1220.4938613215415</v>
      </c>
      <c r="BL240" s="152">
        <f>(BK240+BJ240)</f>
        <v>1576.7192034429884</v>
      </c>
      <c r="BM240" s="161"/>
      <c r="BN240" s="161"/>
      <c r="BO240" s="161"/>
      <c r="BP240" s="161"/>
      <c r="BQ240" s="161"/>
      <c r="BR240" s="161"/>
      <c r="BS240" s="161"/>
      <c r="BT240" s="161">
        <v>785.5</v>
      </c>
      <c r="BU240" s="152">
        <f>IF(BS238&gt;-1,1,-1)</f>
        <v>-1</v>
      </c>
      <c r="BV240" s="149">
        <f>BV192</f>
        <v>0.1797</v>
      </c>
      <c r="BW240" s="171"/>
      <c r="BX240" s="151"/>
      <c r="BY240" s="797"/>
      <c r="BZ240" s="797"/>
      <c r="CA240" s="797"/>
      <c r="CB240" s="797"/>
      <c r="CC240" s="797"/>
      <c r="CD240" s="797"/>
      <c r="CE240" s="797"/>
      <c r="CF240" s="797"/>
      <c r="CG240" s="797"/>
      <c r="CH240" s="797"/>
      <c r="CI240" s="797"/>
      <c r="CJ240" s="797"/>
      <c r="CK240" s="797"/>
      <c r="CL240" s="797"/>
      <c r="CM240" s="797"/>
      <c r="CN240" s="797"/>
      <c r="CO240" s="797"/>
      <c r="CP240" s="797"/>
      <c r="CQ240" s="797"/>
      <c r="CR240" s="797"/>
      <c r="CS240" s="797"/>
      <c r="CT240" s="797"/>
      <c r="CU240" s="797"/>
    </row>
    <row r="241" spans="1:99" x14ac:dyDescent="0.25">
      <c r="A241" s="163">
        <f>(A239-A238)+A234-A237</f>
        <v>-28.305313731011154</v>
      </c>
      <c r="B241" s="163">
        <f>A242+(A241*-1)+A240</f>
        <v>-96.72650789579609</v>
      </c>
      <c r="C241" s="154">
        <f>(B241/10)</f>
        <v>-9.6726507895796097</v>
      </c>
      <c r="D241" s="154"/>
      <c r="E241" s="154"/>
      <c r="F241" s="161">
        <f>(Q247*-1)</f>
        <v>898.45219163688955</v>
      </c>
      <c r="G241" s="161"/>
      <c r="H241" s="161"/>
      <c r="I241" s="161"/>
      <c r="J241" s="161"/>
      <c r="K241" s="161"/>
      <c r="L241" s="161"/>
      <c r="M241" s="161"/>
      <c r="N241" s="161"/>
      <c r="O241" s="161">
        <f>(H249/1000)*8.9</f>
        <v>1.4364600000000003</v>
      </c>
      <c r="P241" s="152">
        <f>(P243+O245)/2</f>
        <v>965.76448296025228</v>
      </c>
      <c r="Q241" s="149">
        <f>H249/(Q248*1000)</f>
        <v>0.11239554317548747</v>
      </c>
      <c r="R241" s="171"/>
      <c r="S241" s="151"/>
      <c r="T241" s="163">
        <f>(T239-T238)+T234-T237</f>
        <v>-28.390787879977296</v>
      </c>
      <c r="U241" s="163">
        <f>T242+(T241*-1)+T240</f>
        <v>-96.881915439370914</v>
      </c>
      <c r="V241" s="154">
        <f>(U241/10)</f>
        <v>-9.6881915439370907</v>
      </c>
      <c r="W241" s="154"/>
      <c r="X241" s="154"/>
      <c r="Y241" s="161">
        <f>(AJ247*-1)</f>
        <v>267.30967062721356</v>
      </c>
      <c r="Z241" s="161"/>
      <c r="AA241" s="161"/>
      <c r="AB241" s="161"/>
      <c r="AC241" s="161"/>
      <c r="AD241" s="161"/>
      <c r="AE241" s="161"/>
      <c r="AF241" s="161"/>
      <c r="AG241" s="161"/>
      <c r="AH241" s="161">
        <f>(AA249/1000)*8.9</f>
        <v>0.79183300000000001</v>
      </c>
      <c r="AI241" s="152">
        <f>(AI243+AH245)/2</f>
        <v>966.18547813785403</v>
      </c>
      <c r="AJ241" s="149">
        <f>AA249/(AJ248*1000)</f>
        <v>0.11233585858585858</v>
      </c>
      <c r="AK241" s="171"/>
      <c r="AL241" s="151"/>
      <c r="AM241" s="163">
        <f>(AM239-AM238)+AM234-AM237</f>
        <v>-28.376016213627423</v>
      </c>
      <c r="AN241" s="163">
        <f>AM242+(AM241*-1)+AM240</f>
        <v>-96.855057864189291</v>
      </c>
      <c r="AO241" s="154">
        <f>(AN241/10)</f>
        <v>-9.6855057864189291</v>
      </c>
      <c r="AP241" s="154"/>
      <c r="AQ241" s="154"/>
      <c r="AR241" s="161">
        <f>(BC247*-1)</f>
        <v>681.22530966686361</v>
      </c>
      <c r="AS241" s="161"/>
      <c r="AT241" s="161"/>
      <c r="AU241" s="161"/>
      <c r="AV241" s="161"/>
      <c r="AW241" s="161"/>
      <c r="AX241" s="161"/>
      <c r="AY241" s="161"/>
      <c r="AZ241" s="161"/>
      <c r="BA241" s="161">
        <f>(AT249/1000)*8.9</f>
        <v>1.8067000000000002</v>
      </c>
      <c r="BB241" s="152">
        <f>(BB243+BA245)/2</f>
        <v>1215.1580436616193</v>
      </c>
      <c r="BC241" s="149">
        <f>AT249/(BC248*1000)</f>
        <v>0.11234089651355839</v>
      </c>
      <c r="BD241" s="171"/>
      <c r="BE241" s="151"/>
      <c r="BF241" s="163">
        <f>(BF239-BF238)+BF234-BF237</f>
        <v>-28.365597411179237</v>
      </c>
      <c r="BG241" s="163">
        <f>BF242+(BF241*-1)+BF240</f>
        <v>-96.836114587010741</v>
      </c>
      <c r="BH241" s="154">
        <f>(BG241/10)</f>
        <v>-9.6836114587010744</v>
      </c>
      <c r="BI241" s="154"/>
      <c r="BJ241" s="154"/>
      <c r="BK241" s="161">
        <f>(BV247*-1)</f>
        <v>405.5342496250305</v>
      </c>
      <c r="BL241" s="161"/>
      <c r="BM241" s="161"/>
      <c r="BN241" s="161"/>
      <c r="BO241" s="161"/>
      <c r="BP241" s="161"/>
      <c r="BQ241" s="161"/>
      <c r="BR241" s="161"/>
      <c r="BS241" s="161"/>
      <c r="BT241" s="161">
        <f>(BM249/1000)*8.9</f>
        <v>0.99591000000000007</v>
      </c>
      <c r="BU241" s="152">
        <f>(BU243+BT245)/2</f>
        <v>1215.0934792751386</v>
      </c>
      <c r="BV241" s="149">
        <f>BM249/(BV248*1000)</f>
        <v>0.11234939759036146</v>
      </c>
      <c r="BW241" s="171"/>
      <c r="BX241" s="151"/>
      <c r="BY241" s="797"/>
      <c r="BZ241" s="797"/>
      <c r="CA241" s="797"/>
      <c r="CB241" s="797"/>
      <c r="CC241" s="797"/>
      <c r="CD241" s="797"/>
      <c r="CE241" s="797"/>
      <c r="CF241" s="797"/>
      <c r="CG241" s="797"/>
      <c r="CH241" s="797"/>
      <c r="CI241" s="797"/>
      <c r="CJ241" s="797"/>
      <c r="CK241" s="797"/>
      <c r="CL241" s="797"/>
      <c r="CM241" s="797"/>
      <c r="CN241" s="797"/>
      <c r="CO241" s="797"/>
      <c r="CP241" s="797"/>
      <c r="CQ241" s="797"/>
      <c r="CR241" s="797"/>
      <c r="CS241" s="797"/>
      <c r="CT241" s="797"/>
      <c r="CU241" s="797"/>
    </row>
    <row r="242" spans="1:99" x14ac:dyDescent="0.25">
      <c r="A242" s="163">
        <f>(A241+A240)</f>
        <v>-76.668567678909199</v>
      </c>
      <c r="B242" s="154"/>
      <c r="C242" s="154">
        <f>((F242+E242*-1)+E246)*10-A235+O242*-1-C238*111</f>
        <v>10.15949326246314</v>
      </c>
      <c r="D242" s="154"/>
      <c r="E242" s="154">
        <f>(E246+O242+F242)</f>
        <v>-4.3571499044756656E-2</v>
      </c>
      <c r="F242" s="161">
        <f>(O242*E246)</f>
        <v>6.0238258706407493</v>
      </c>
      <c r="G242" s="161"/>
      <c r="H242" s="191">
        <f>(P243+H243)/2</f>
        <v>736.9919917113732</v>
      </c>
      <c r="I242" s="161"/>
      <c r="J242" s="161"/>
      <c r="K242" s="161"/>
      <c r="L242" s="161"/>
      <c r="M242" s="161"/>
      <c r="N242" s="161">
        <f>(A238-A234)-(A234-B239)</f>
        <v>15.769101095456847</v>
      </c>
      <c r="O242" s="152">
        <f>(P242+A235+C238*10)</f>
        <v>-1.2505829174917098</v>
      </c>
      <c r="P242" s="161">
        <f>E246</f>
        <v>-4.8168144521937961</v>
      </c>
      <c r="Q242" s="162">
        <f>(Q238*Q237*10)</f>
        <v>83.832618661337776</v>
      </c>
      <c r="R242" s="171"/>
      <c r="S242" s="151"/>
      <c r="T242" s="163">
        <f>(T241+T240)</f>
        <v>-76.831745599662753</v>
      </c>
      <c r="U242" s="154"/>
      <c r="V242" s="154">
        <f>((Y242+X242*-1)+X246)*10-T235+AH242*-1-V238*111</f>
        <v>10.338828851693075</v>
      </c>
      <c r="W242" s="154"/>
      <c r="X242" s="154">
        <f>(X246+AH242+Y242)</f>
        <v>-9.5700730995952554E-2</v>
      </c>
      <c r="Y242" s="161">
        <f>(AH242*X246)</f>
        <v>5.7760323507194986</v>
      </c>
      <c r="Z242" s="161"/>
      <c r="AA242" s="191">
        <f>(AI243+AA243)/2</f>
        <v>737.30983051649537</v>
      </c>
      <c r="AB242" s="161"/>
      <c r="AC242" s="161"/>
      <c r="AD242" s="161"/>
      <c r="AE242" s="161"/>
      <c r="AF242" s="161"/>
      <c r="AG242" s="161">
        <f>(T238-T234)-(T234-U239)</f>
        <v>15.859431730159685</v>
      </c>
      <c r="AH242" s="152">
        <f>(AI242+T235+V238*10)</f>
        <v>-1.2496637075638157</v>
      </c>
      <c r="AI242" s="161">
        <f>X246</f>
        <v>-4.6220693741516357</v>
      </c>
      <c r="AJ242" s="162">
        <f>(AJ238*AJ237*10)</f>
        <v>70.741586539575337</v>
      </c>
      <c r="AK242" s="171"/>
      <c r="AL242" s="151"/>
      <c r="AM242" s="163">
        <f>(AM241+AM240)</f>
        <v>-76.803545145722069</v>
      </c>
      <c r="AN242" s="154"/>
      <c r="AO242" s="154">
        <f>((AR242+AQ242*-1)+AQ246)*10-AM235+BA242*-1-AO238*111</f>
        <v>10.307964051314549</v>
      </c>
      <c r="AP242" s="154"/>
      <c r="AQ242" s="154">
        <f>(AQ246+BA242+AR242)</f>
        <v>-8.6696155071678938E-2</v>
      </c>
      <c r="AR242" s="161">
        <f>(BA242*AQ246)</f>
        <v>5.8188574767077546</v>
      </c>
      <c r="AS242" s="161"/>
      <c r="AT242" s="191">
        <f>(BB243+AT243)/2</f>
        <v>927.24531646121341</v>
      </c>
      <c r="AU242" s="161"/>
      <c r="AV242" s="161"/>
      <c r="AW242" s="161"/>
      <c r="AX242" s="161"/>
      <c r="AY242" s="161"/>
      <c r="AZ242" s="161">
        <f>(AM238-AM234)-(AM234-AN239)</f>
        <v>15.843820764585388</v>
      </c>
      <c r="BA242" s="152">
        <f>(BB242+AM235+AO238*10)</f>
        <v>-1.2498283587284147</v>
      </c>
      <c r="BB242" s="161">
        <f>AQ246</f>
        <v>-4.6557252730510186</v>
      </c>
      <c r="BC242" s="162">
        <f>(BC238*BC237*10)</f>
        <v>72.919689384449867</v>
      </c>
      <c r="BD242" s="171"/>
      <c r="BE242" s="151"/>
      <c r="BF242" s="163">
        <f>(BF241+BF240)</f>
        <v>-76.783654704684608</v>
      </c>
      <c r="BG242" s="154"/>
      <c r="BH242" s="154">
        <f>((BK242+BJ242*-1)+BJ246)*10-BF235+BT242*-1-BH238*111</f>
        <v>10.286160396771443</v>
      </c>
      <c r="BI242" s="154"/>
      <c r="BJ242" s="154">
        <f>(BJ246+BT242+BK242)</f>
        <v>-8.0344009966527352E-2</v>
      </c>
      <c r="BK242" s="161">
        <f>(BT242*BJ246)</f>
        <v>5.8490625104551333</v>
      </c>
      <c r="BL242" s="161"/>
      <c r="BM242" s="191">
        <f>(BU243+BM243)/2</f>
        <v>927.1965732529568</v>
      </c>
      <c r="BN242" s="161"/>
      <c r="BO242" s="161"/>
      <c r="BP242" s="161"/>
      <c r="BQ242" s="161"/>
      <c r="BR242" s="161"/>
      <c r="BS242" s="161">
        <f>(BF238-BF234)-(BF234-BG239)</f>
        <v>15.832809984725401</v>
      </c>
      <c r="BT242" s="152">
        <f>(BU242+BF235+BH238*10)</f>
        <v>-1.2499429531563448</v>
      </c>
      <c r="BU242" s="161">
        <f>BJ246</f>
        <v>-4.6794635672653158</v>
      </c>
      <c r="BV242" s="162">
        <f>(BV238*BV237*10)</f>
        <v>74.477150741040234</v>
      </c>
      <c r="BW242" s="171"/>
      <c r="BX242" s="151"/>
      <c r="BY242" s="797"/>
      <c r="BZ242" s="797"/>
      <c r="CA242" s="797"/>
      <c r="CB242" s="797"/>
      <c r="CC242" s="797"/>
      <c r="CD242" s="797"/>
      <c r="CE242" s="797"/>
      <c r="CF242" s="797"/>
      <c r="CG242" s="797"/>
      <c r="CH242" s="797"/>
      <c r="CI242" s="797"/>
      <c r="CJ242" s="797"/>
      <c r="CK242" s="797"/>
      <c r="CL242" s="797"/>
      <c r="CM242" s="797"/>
      <c r="CN242" s="797"/>
      <c r="CO242" s="797"/>
      <c r="CP242" s="797"/>
      <c r="CQ242" s="797"/>
      <c r="CR242" s="797"/>
      <c r="CS242" s="797"/>
      <c r="CT242" s="797"/>
      <c r="CU242" s="797"/>
    </row>
    <row r="243" spans="1:99" x14ac:dyDescent="0.25">
      <c r="A243" s="163">
        <f>(A234+A242)</f>
        <v>148.12126140039544</v>
      </c>
      <c r="B243" s="154">
        <f>(A234+A243)/2</f>
        <v>186.45554523985004</v>
      </c>
      <c r="C243" s="154">
        <f>(E239-A234)-(A234-B243)</f>
        <v>-39.225082136614191</v>
      </c>
      <c r="D243" s="163">
        <f>(B239+C239)/2</f>
        <v>217.99374743076373</v>
      </c>
      <c r="E243" s="163">
        <f>(A238+A244)</f>
        <v>450.47045645576884</v>
      </c>
      <c r="F243" s="191">
        <f>(G240*2)-G247</f>
        <v>3291.2643228512006</v>
      </c>
      <c r="G243" s="191">
        <f>(A235*F243)</f>
        <v>11727.410617191861</v>
      </c>
      <c r="H243" s="191">
        <f>(N245+P243)/2</f>
        <v>491.65324155636887</v>
      </c>
      <c r="I243" s="191"/>
      <c r="J243" s="191"/>
      <c r="K243" s="191"/>
      <c r="L243" s="191"/>
      <c r="M243" s="191"/>
      <c r="N243" s="191">
        <f>(O243+O244)/2</f>
        <v>997.11692875240306</v>
      </c>
      <c r="O243" s="152">
        <f>(A237+C239)/2*Q248/Q240</f>
        <v>943.67613775208565</v>
      </c>
      <c r="P243" s="152">
        <f>B236*Q248/Q240</f>
        <v>982.33074186637748</v>
      </c>
      <c r="Q243" s="149">
        <f>(A239+B236)/2</f>
        <v>213.8700606737016</v>
      </c>
      <c r="R243" s="171"/>
      <c r="S243" s="151"/>
      <c r="T243" s="163">
        <f>(T234+T242)</f>
        <v>147.83375744478207</v>
      </c>
      <c r="U243" s="154">
        <f>(T234+T243)/2</f>
        <v>186.24963024461346</v>
      </c>
      <c r="V243" s="154">
        <f>(X239-T234)-(T234-U243)</f>
        <v>-39.258106239623828</v>
      </c>
      <c r="W243" s="163">
        <f>(U239+V239)/2</f>
        <v>217.96849370493283</v>
      </c>
      <c r="X243" s="163">
        <f>(T238+T244)</f>
        <v>450.17323952868207</v>
      </c>
      <c r="Y243" s="191">
        <f>(Z240*2)-Z247</f>
        <v>2880.2611349489116</v>
      </c>
      <c r="Z243" s="191">
        <f>(T235*Y243)</f>
        <v>9703.408972754376</v>
      </c>
      <c r="AA243" s="191">
        <f>(AG245+AI243)/2</f>
        <v>491.86517776883358</v>
      </c>
      <c r="AB243" s="191"/>
      <c r="AC243" s="191"/>
      <c r="AD243" s="191"/>
      <c r="AE243" s="191"/>
      <c r="AF243" s="191"/>
      <c r="AG243" s="191">
        <f>(AH243+AH244)/2</f>
        <v>997.48999099227512</v>
      </c>
      <c r="AH243" s="152">
        <f>(T237+V239)/2*AJ248/AJ240</f>
        <v>944.09347130278331</v>
      </c>
      <c r="AI243" s="152">
        <f>U236*AJ248/AJ240</f>
        <v>982.7544832641571</v>
      </c>
      <c r="AJ243" s="149">
        <f>(T239+U236)/2</f>
        <v>213.79818468479826</v>
      </c>
      <c r="AK243" s="171"/>
      <c r="AL243" s="151"/>
      <c r="AM243" s="163">
        <f>(AM234+AM242)</f>
        <v>147.88344395886801</v>
      </c>
      <c r="AN243" s="154">
        <f>(AM234+AM243)/2</f>
        <v>186.28521653172905</v>
      </c>
      <c r="AO243" s="154">
        <f>(AQ239-AM234)-(AM234-AN243)</f>
        <v>-39.25239900489774</v>
      </c>
      <c r="AP243" s="163">
        <f>(AN239+AO239)/2</f>
        <v>217.97285806089985</v>
      </c>
      <c r="AQ243" s="163">
        <f>(AM238+AM244)</f>
        <v>450.22460464121684</v>
      </c>
      <c r="AR243" s="191">
        <f>(AS240*2)-AS247</f>
        <v>2948.8207021516546</v>
      </c>
      <c r="AS243" s="191">
        <f>(AM235*AR243)</f>
        <v>10033.379330348935</v>
      </c>
      <c r="AT243" s="191">
        <f>(AZ245+BB243)/2</f>
        <v>618.49300903710889</v>
      </c>
      <c r="AU243" s="191"/>
      <c r="AV243" s="191"/>
      <c r="AW243" s="191"/>
      <c r="AX243" s="191"/>
      <c r="AY243" s="191"/>
      <c r="AZ243" s="191">
        <f>(BA243+BA244)/2</f>
        <v>1254.5426845748188</v>
      </c>
      <c r="BA243" s="152">
        <f>(AM237+AO239)/2*BC248/BC240</f>
        <v>1187.3719366966882</v>
      </c>
      <c r="BB243" s="152">
        <f>AN236*BC248/BC240</f>
        <v>1235.9976238853178</v>
      </c>
      <c r="BC243" s="149">
        <f>(AM239+AN236)/2</f>
        <v>213.81060631331977</v>
      </c>
      <c r="BD243" s="171"/>
      <c r="BE243" s="151"/>
      <c r="BF243" s="163">
        <f>(BF234+BF242)</f>
        <v>147.91848902164824</v>
      </c>
      <c r="BG243" s="154">
        <f>(BF234+BF243)/2</f>
        <v>186.31031637399053</v>
      </c>
      <c r="BH243" s="154">
        <f>(BJ239-BF234)-(BF234-BG243)</f>
        <v>-39.248373558497292</v>
      </c>
      <c r="BI243" s="163">
        <f>(BG239+BH239)/2</f>
        <v>217.97593634344136</v>
      </c>
      <c r="BJ243" s="163">
        <f>(BF238+BF244)</f>
        <v>450.26083365882067</v>
      </c>
      <c r="BK243" s="191">
        <f>(BL240*2)-BL247</f>
        <v>2997.7910874873205</v>
      </c>
      <c r="BL243" s="191">
        <f>(BF235*BK243)</f>
        <v>10270.986331329916</v>
      </c>
      <c r="BM243" s="191">
        <f>(BS245+BU243)/2</f>
        <v>618.4605081710954</v>
      </c>
      <c r="BN243" s="191"/>
      <c r="BO243" s="191"/>
      <c r="BP243" s="191"/>
      <c r="BQ243" s="191"/>
      <c r="BR243" s="191"/>
      <c r="BS243" s="191">
        <f>(BT243+BT244)/2</f>
        <v>1254.4854712481156</v>
      </c>
      <c r="BT243" s="152">
        <f>(BF237+BH239)/2*BV248/BV240</f>
        <v>1187.3079338622326</v>
      </c>
      <c r="BU243" s="152">
        <f>BG236*BV248/BV240</f>
        <v>1235.9326383348182</v>
      </c>
      <c r="BV243" s="149">
        <f>(BF239+BG236)/2</f>
        <v>213.81936757901479</v>
      </c>
      <c r="BW243" s="171"/>
      <c r="BX243" s="151"/>
      <c r="BY243" s="797"/>
      <c r="BZ243" s="797"/>
      <c r="CA243" s="797"/>
      <c r="CB243" s="797"/>
      <c r="CC243" s="797"/>
      <c r="CD243" s="797"/>
      <c r="CE243" s="797"/>
      <c r="CF243" s="797"/>
      <c r="CG243" s="797"/>
      <c r="CH243" s="797"/>
      <c r="CI243" s="797"/>
      <c r="CJ243" s="797"/>
      <c r="CK243" s="797"/>
      <c r="CL243" s="797"/>
      <c r="CM243" s="797"/>
      <c r="CN243" s="797"/>
      <c r="CO243" s="797"/>
      <c r="CP243" s="797"/>
      <c r="CQ243" s="797"/>
      <c r="CR243" s="797"/>
      <c r="CS243" s="797"/>
      <c r="CT243" s="797"/>
      <c r="CU243" s="797"/>
    </row>
    <row r="244" spans="1:99" x14ac:dyDescent="0.25">
      <c r="A244" s="163">
        <f>((A239+A238+A237+A236)/4-A239-A234)*-1</f>
        <v>205.62268715957734</v>
      </c>
      <c r="B244" s="154">
        <f>(B239+C239)/2</f>
        <v>217.99374743076373</v>
      </c>
      <c r="C244" s="154">
        <f>(E246+A235)</f>
        <v>-1.2536212635554307</v>
      </c>
      <c r="D244" s="163">
        <f>(A246+D245+A238+D245)/2</f>
        <v>380.09521692108302</v>
      </c>
      <c r="E244" s="163">
        <f>(A239+D245+A238)/3</f>
        <v>201.55411547536593</v>
      </c>
      <c r="F244" s="191">
        <f>(O244+P243)/2</f>
        <v>1016.444230809549</v>
      </c>
      <c r="G244" s="149"/>
      <c r="H244" s="191">
        <f>(O244+P243+N243)/3</f>
        <v>1010.0017967905004</v>
      </c>
      <c r="I244" s="191"/>
      <c r="J244" s="191"/>
      <c r="K244" s="191"/>
      <c r="L244" s="191"/>
      <c r="M244" s="191"/>
      <c r="N244" s="191">
        <f>((A244+A238)/2)*Q248/Q240</f>
        <v>992.14045317558896</v>
      </c>
      <c r="O244" s="152">
        <f>((A245+A236)/2)*Q248/Q240</f>
        <v>1050.5577197527205</v>
      </c>
      <c r="P244" s="152">
        <f>B235*Q248/Q240</f>
        <v>960.24239665821062</v>
      </c>
      <c r="Q244" s="162">
        <f>A235+E246</f>
        <v>-1.2536212635554307</v>
      </c>
      <c r="R244" s="171"/>
      <c r="S244" s="151"/>
      <c r="T244" s="163">
        <f>((T239+T238+T237+T236)/4-T239-T234)*-1</f>
        <v>205.45756664452912</v>
      </c>
      <c r="U244" s="154">
        <f>(U239+V239)/2</f>
        <v>217.96849370493283</v>
      </c>
      <c r="V244" s="154">
        <f>(X246+T235)</f>
        <v>-1.2531356149817441</v>
      </c>
      <c r="W244" s="163">
        <f>(T246+W245+T238+W245)/2</f>
        <v>379.80334212830661</v>
      </c>
      <c r="X244" s="163">
        <f>(T239+W245+T238)/3</f>
        <v>201.41942893760111</v>
      </c>
      <c r="Y244" s="191">
        <f>(AH244+AI243)/2</f>
        <v>1016.820496972962</v>
      </c>
      <c r="Z244" s="149"/>
      <c r="AA244" s="191">
        <f>(AH244+AI243+AG243)/3</f>
        <v>1010.3769949793997</v>
      </c>
      <c r="AB244" s="191"/>
      <c r="AC244" s="191"/>
      <c r="AD244" s="191"/>
      <c r="AE244" s="191"/>
      <c r="AF244" s="191"/>
      <c r="AG244" s="191">
        <f>((T244+T238)/2)*AJ248/AJ240</f>
        <v>992.03451782614422</v>
      </c>
      <c r="AH244" s="152">
        <f>((T245+T236)/2)*AJ248/AJ240</f>
        <v>1050.8865106817668</v>
      </c>
      <c r="AI244" s="152">
        <f>U235*AJ248/AJ240</f>
        <v>960.66247642908627</v>
      </c>
      <c r="AJ244" s="162">
        <f>T235+X246</f>
        <v>-1.2531356149817441</v>
      </c>
      <c r="AK244" s="171"/>
      <c r="AL244" s="151"/>
      <c r="AM244" s="163">
        <f>((AM239+AM238+AM237+AM236)/4-AM239-AM234)*-1</f>
        <v>205.48610281815957</v>
      </c>
      <c r="AN244" s="154">
        <f>(AN239+AO239)/2</f>
        <v>217.97285806089985</v>
      </c>
      <c r="AO244" s="154">
        <f>(AQ246+AM235)</f>
        <v>-1.2532195449041978</v>
      </c>
      <c r="AP244" s="163">
        <f>(AM246+AP245+AM238+AP245)/2</f>
        <v>379.85378401169459</v>
      </c>
      <c r="AQ244" s="163">
        <f>(AM239+AP245+AM238)/3</f>
        <v>201.44270550275849</v>
      </c>
      <c r="AR244" s="191">
        <f>(BA244+BB243)/2</f>
        <v>1278.8555281691335</v>
      </c>
      <c r="AS244" s="149"/>
      <c r="AT244" s="191">
        <f>(BA244+BB243+AZ243)/3</f>
        <v>1270.7512469710286</v>
      </c>
      <c r="AU244" s="191"/>
      <c r="AV244" s="191"/>
      <c r="AW244" s="191"/>
      <c r="AX244" s="191"/>
      <c r="AY244" s="191"/>
      <c r="AZ244" s="191">
        <f>((AM244+AM238)/2)*BC248/BC240</f>
        <v>1247.7850622495073</v>
      </c>
      <c r="BA244" s="152">
        <f>((AM245+AM236)/2)*BC248/BC240</f>
        <v>1321.7134324529493</v>
      </c>
      <c r="BB244" s="152">
        <f>AN235*BC248/BC240</f>
        <v>1208.2115169203864</v>
      </c>
      <c r="BC244" s="162">
        <f>AM235+AQ246</f>
        <v>-1.2532195449041978</v>
      </c>
      <c r="BD244" s="171"/>
      <c r="BE244" s="151"/>
      <c r="BF244" s="163">
        <f>((BF239+BF238+BF237+BF236)/4-BF239-BF234)*-1</f>
        <v>205.50623005016169</v>
      </c>
      <c r="BG244" s="154">
        <f>(BG239+BH239)/2</f>
        <v>217.97593634344136</v>
      </c>
      <c r="BH244" s="154">
        <f>(BJ246+BF235)</f>
        <v>-1.2532787426453922</v>
      </c>
      <c r="BI244" s="163">
        <f>(BF246+BI245+BF238+BI245)/2</f>
        <v>379.88936185414536</v>
      </c>
      <c r="BJ244" s="163">
        <f>(BF239+BI245+BF238)/3</f>
        <v>201.4591230096465</v>
      </c>
      <c r="BK244" s="191">
        <f>(BT244+BU243)/2</f>
        <v>1278.7978234844086</v>
      </c>
      <c r="BL244" s="149"/>
      <c r="BM244" s="191">
        <f>(BT244+BU243+BS243)/3</f>
        <v>1270.693706072311</v>
      </c>
      <c r="BN244" s="191"/>
      <c r="BO244" s="191"/>
      <c r="BP244" s="191"/>
      <c r="BQ244" s="191"/>
      <c r="BR244" s="191"/>
      <c r="BS244" s="191">
        <f>((BF244+BF238)/2)*BV248/BV240</f>
        <v>1247.8013086371325</v>
      </c>
      <c r="BT244" s="152">
        <f>((BF245+BF236)/2)*BV248/BV240</f>
        <v>1321.6630086339987</v>
      </c>
      <c r="BU244" s="152">
        <f>BG235*BV248/BV240</f>
        <v>1208.147092921912</v>
      </c>
      <c r="BV244" s="162">
        <f>BF235+BJ246</f>
        <v>-1.2532787426453922</v>
      </c>
      <c r="BW244" s="171"/>
      <c r="BX244" s="151"/>
      <c r="BY244" s="797"/>
      <c r="BZ244" s="797"/>
      <c r="CA244" s="797"/>
      <c r="CB244" s="797"/>
      <c r="CC244" s="797"/>
      <c r="CD244" s="797"/>
      <c r="CE244" s="797"/>
      <c r="CF244" s="797"/>
      <c r="CG244" s="797"/>
      <c r="CH244" s="797"/>
      <c r="CI244" s="797"/>
      <c r="CJ244" s="797"/>
      <c r="CK244" s="797"/>
      <c r="CL244" s="797"/>
      <c r="CM244" s="797"/>
      <c r="CN244" s="797"/>
      <c r="CO244" s="797"/>
      <c r="CP244" s="797"/>
      <c r="CQ244" s="797"/>
      <c r="CR244" s="797"/>
      <c r="CS244" s="797"/>
      <c r="CT244" s="797"/>
      <c r="CU244" s="797"/>
    </row>
    <row r="245" spans="1:99" x14ac:dyDescent="0.25">
      <c r="A245" s="163">
        <f>((A239+A238+A237+A236)/4-A239-A234*-1)</f>
        <v>243.95697099903194</v>
      </c>
      <c r="B245" s="154">
        <f>B236/2</f>
        <v>111.50411624249273</v>
      </c>
      <c r="C245" s="154">
        <f>(B235+C239)/2</f>
        <v>216.7401261672083</v>
      </c>
      <c r="D245" s="163">
        <f>(A244+A243+B245)/3</f>
        <v>155.08268826748849</v>
      </c>
      <c r="E245" s="163">
        <f>(A239+A238+B245)/3</f>
        <v>187.02792480036734</v>
      </c>
      <c r="F245" s="149">
        <f>E242+(C249*-1)-E242-E246</f>
        <v>1.9763077146569366</v>
      </c>
      <c r="G245" s="149"/>
      <c r="H245" s="191">
        <f>(P245+N245)/2</f>
        <v>345.23604604253984</v>
      </c>
      <c r="I245" s="149"/>
      <c r="J245" s="149"/>
      <c r="K245" s="149"/>
      <c r="L245" s="149"/>
      <c r="M245" s="149"/>
      <c r="N245" s="191">
        <f>((N244+N243)/2/Q239)</f>
        <v>0.97574124636021564</v>
      </c>
      <c r="O245" s="152">
        <f>((A237+D243)/2)*Q248/Q240</f>
        <v>949.19822405412719</v>
      </c>
      <c r="P245" s="152">
        <f>((B245+E244)/2)*Q248/Q240</f>
        <v>689.49635083871942</v>
      </c>
      <c r="Q245" s="162">
        <f>(Q244*Q242/10)</f>
        <v>-10.509435333338683</v>
      </c>
      <c r="R245" s="171"/>
      <c r="S245" s="151"/>
      <c r="T245" s="163">
        <f>((T239+T238+T237+T236)/4-T239-T234*-1)</f>
        <v>243.87343944436051</v>
      </c>
      <c r="U245" s="154">
        <f>U236/2</f>
        <v>111.49051808242993</v>
      </c>
      <c r="V245" s="154">
        <f>(U235+V239)/2</f>
        <v>216.71535808995105</v>
      </c>
      <c r="W245" s="163">
        <f>(T244+T243+U245)/3</f>
        <v>154.9272807239137</v>
      </c>
      <c r="X245" s="163">
        <f>(T239+T238+U245)/3</f>
        <v>186.94050805710651</v>
      </c>
      <c r="Y245" s="149">
        <f>X242+(V249*-1)-X242-X246</f>
        <v>1.9608982258447103</v>
      </c>
      <c r="Z245" s="149"/>
      <c r="AA245" s="191">
        <f>(AI245+AG245)/2</f>
        <v>345.26350380490277</v>
      </c>
      <c r="AB245" s="149"/>
      <c r="AC245" s="149"/>
      <c r="AD245" s="149"/>
      <c r="AE245" s="149"/>
      <c r="AF245" s="149"/>
      <c r="AG245" s="191">
        <f>((AG244+AG243)/2/AJ239)</f>
        <v>0.97587227351003036</v>
      </c>
      <c r="AH245" s="152">
        <f>((T237+W243)/2)*AJ248/AJ240</f>
        <v>949.61647301155097</v>
      </c>
      <c r="AI245" s="152">
        <f>((U245+X244)/2)*AJ248/AJ240</f>
        <v>689.55113533629549</v>
      </c>
      <c r="AJ245" s="162">
        <f>(AJ244*AJ242/10)</f>
        <v>-8.8648801553055012</v>
      </c>
      <c r="AK245" s="171"/>
      <c r="AL245" s="151"/>
      <c r="AM245" s="163">
        <f>((AM239+AM238+AM237+AM236)/4-AM239-AM234*-1)</f>
        <v>243.8878753910206</v>
      </c>
      <c r="AN245" s="154">
        <f>AN236/2</f>
        <v>111.49286812025834</v>
      </c>
      <c r="AO245" s="154">
        <f>(AN235+AO239)/2</f>
        <v>216.71963851599565</v>
      </c>
      <c r="AP245" s="163">
        <f>(AM244+AM243+AN245)/3</f>
        <v>154.95413829909532</v>
      </c>
      <c r="AQ245" s="163">
        <f>(AM239+AM238+AN245)/3</f>
        <v>186.95561544314617</v>
      </c>
      <c r="AR245" s="149">
        <f>AQ242+(AO249*-1)-AQ242-AQ246</f>
        <v>1.9636893243655678</v>
      </c>
      <c r="AS245" s="149"/>
      <c r="AT245" s="191">
        <f>(BB245+AZ245)/2</f>
        <v>434.14034857971933</v>
      </c>
      <c r="AU245" s="149"/>
      <c r="AV245" s="149"/>
      <c r="AW245" s="149"/>
      <c r="AX245" s="149"/>
      <c r="AY245" s="149"/>
      <c r="AZ245" s="191">
        <f>((AZ244+AZ243)/2/BC239)</f>
        <v>0.98839418889988917</v>
      </c>
      <c r="BA245" s="152">
        <f>((AM237+AP243)/2)*BC248/BC240</f>
        <v>1194.3184634379209</v>
      </c>
      <c r="BB245" s="152">
        <f>((AN245+AQ244)/2)*BC248/BC240</f>
        <v>867.2923029705388</v>
      </c>
      <c r="BC245" s="162">
        <f>(BC244*BC242/10)</f>
        <v>-9.1384379944935734</v>
      </c>
      <c r="BD245" s="171"/>
      <c r="BE245" s="151"/>
      <c r="BF245" s="163">
        <f>((BF239+BF238+BF237+BF236)/4-BF239-BF234*-1)</f>
        <v>243.89805740250401</v>
      </c>
      <c r="BG245" s="154">
        <f>BG236/2</f>
        <v>111.49452565701145</v>
      </c>
      <c r="BH245" s="154">
        <f>(BG235+BH239)/2</f>
        <v>216.72265760079597</v>
      </c>
      <c r="BI245" s="163">
        <f>(BF244+BF243+BG245)/3</f>
        <v>154.97308157627378</v>
      </c>
      <c r="BJ245" s="163">
        <f>(BF239+BF238+BG245)/3</f>
        <v>186.96627103655905</v>
      </c>
      <c r="BK245" s="149">
        <f>BJ242+(BH249*-1)-BJ242-BJ246</f>
        <v>1.9656239640367588</v>
      </c>
      <c r="BL245" s="149"/>
      <c r="BM245" s="191">
        <f>(BU245+BS245)/2</f>
        <v>434.1361395768518</v>
      </c>
      <c r="BN245" s="149"/>
      <c r="BO245" s="149"/>
      <c r="BP245" s="149"/>
      <c r="BQ245" s="149"/>
      <c r="BR245" s="149"/>
      <c r="BS245" s="191">
        <f>((BS244+BS243)/2/BV239)</f>
        <v>0.98837800737268</v>
      </c>
      <c r="BT245" s="152">
        <f>((BF237+BI243)/2)*BV248/BV240</f>
        <v>1194.2543202154591</v>
      </c>
      <c r="BU245" s="152">
        <f>((BG245+BJ244)/2)*BV248/BV240</f>
        <v>867.28390114633089</v>
      </c>
      <c r="BV245" s="162">
        <f>(BV244*BV242/10)</f>
        <v>-9.3340629836542242</v>
      </c>
      <c r="BW245" s="171"/>
      <c r="BX245" s="151"/>
      <c r="BY245" s="797"/>
      <c r="BZ245" s="797"/>
      <c r="CA245" s="797"/>
      <c r="CB245" s="797"/>
      <c r="CC245" s="797"/>
      <c r="CD245" s="797"/>
      <c r="CE245" s="797"/>
      <c r="CF245" s="797"/>
      <c r="CG245" s="797"/>
      <c r="CH245" s="797"/>
      <c r="CI245" s="797"/>
      <c r="CJ245" s="797"/>
      <c r="CK245" s="797"/>
      <c r="CL245" s="797"/>
      <c r="CM245" s="797"/>
      <c r="CN245" s="797"/>
      <c r="CO245" s="797"/>
      <c r="CP245" s="797"/>
      <c r="CQ245" s="797"/>
      <c r="CR245" s="797"/>
      <c r="CS245" s="797"/>
      <c r="CT245" s="797"/>
      <c r="CU245" s="797"/>
    </row>
    <row r="246" spans="1:99" x14ac:dyDescent="0.25">
      <c r="A246" s="163">
        <f>(A239+A244)/2</f>
        <v>205.17728801099753</v>
      </c>
      <c r="B246" s="154">
        <f>(A236+B238)/2</f>
        <v>230.52996006631804</v>
      </c>
      <c r="C246" s="154">
        <f>(A235*C238)</f>
        <v>1.0826213998976523E-3</v>
      </c>
      <c r="D246" s="154">
        <f>(A236+B246)/2</f>
        <v>231.78358132987347</v>
      </c>
      <c r="E246" s="154">
        <f>(D246-A234)-(A234-A237)</f>
        <v>-4.8168144521937961</v>
      </c>
      <c r="F246" s="191">
        <f>(N246+H246)/2</f>
        <v>1030.9218023718563</v>
      </c>
      <c r="G246" s="149"/>
      <c r="H246" s="314">
        <f>A245*Q248/Q240</f>
        <v>1074.6080072227296</v>
      </c>
      <c r="I246" s="149"/>
      <c r="J246" s="149"/>
      <c r="K246" s="149"/>
      <c r="L246" s="149"/>
      <c r="M246" s="149"/>
      <c r="N246" s="191">
        <f>(N244+P243)/2</f>
        <v>987.23559752098322</v>
      </c>
      <c r="O246" s="152">
        <f>((E243+A243)/2)*Q248/Q240</f>
        <v>1318.3707160144966</v>
      </c>
      <c r="P246" s="152">
        <f>((E244+E246/10)/2)*Q248/Q240</f>
        <v>442.85278415228595</v>
      </c>
      <c r="Q246" s="163">
        <f>(Q245+C249)</f>
        <v>-7.6689285958018232</v>
      </c>
      <c r="R246" s="171"/>
      <c r="S246" s="151"/>
      <c r="T246" s="163">
        <f>(T239+T244)/2</f>
        <v>205.0364499246329</v>
      </c>
      <c r="U246" s="154">
        <f>(T236+U238)/2</f>
        <v>230.49984985475044</v>
      </c>
      <c r="V246" s="154">
        <f>(T235*V238)</f>
        <v>1.1696626108971357E-3</v>
      </c>
      <c r="W246" s="154">
        <f>(T236+U246)/2</f>
        <v>231.75298546973221</v>
      </c>
      <c r="X246" s="154">
        <f>(W246-T234)-(T234-T237)</f>
        <v>-4.6220693741516357</v>
      </c>
      <c r="Y246" s="191">
        <f>(AG246+AA246)/2</f>
        <v>1031.114512487193</v>
      </c>
      <c r="Z246" s="149"/>
      <c r="AA246" s="314">
        <f>T245*AJ248/AJ240</f>
        <v>1074.8345244292352</v>
      </c>
      <c r="AB246" s="149"/>
      <c r="AC246" s="149"/>
      <c r="AD246" s="149"/>
      <c r="AE246" s="149"/>
      <c r="AF246" s="149"/>
      <c r="AG246" s="191">
        <f>(AG244+AI243)/2</f>
        <v>987.39450054515066</v>
      </c>
      <c r="AH246" s="152">
        <f>((X243+T243)/2)*AJ248/AJ240</f>
        <v>1317.8117462520411</v>
      </c>
      <c r="AI246" s="152">
        <f>((X244+X246/10)/2)*AJ248/AJ240</f>
        <v>442.84396166985886</v>
      </c>
      <c r="AJ246" s="163">
        <f>(AJ245+V249)</f>
        <v>-6.2037090069985759</v>
      </c>
      <c r="AK246" s="171"/>
      <c r="AL246" s="151"/>
      <c r="AM246" s="163">
        <f>(AM239+AM244)/2</f>
        <v>205.0607896021412</v>
      </c>
      <c r="AN246" s="154">
        <f>(AM236+AN238)/2</f>
        <v>230.50505350994189</v>
      </c>
      <c r="AO246" s="154">
        <f>(AM235*AO238)</f>
        <v>1.153853038831465E-3</v>
      </c>
      <c r="AP246" s="154">
        <f>(AM236+AN246)/2</f>
        <v>231.75827305484609</v>
      </c>
      <c r="AQ246" s="154">
        <f>(AP246-AM234)-(AM234-AM237)</f>
        <v>-4.6557252730510186</v>
      </c>
      <c r="AR246" s="191">
        <f>(AZ246+AT246)/2</f>
        <v>1296.8741850790655</v>
      </c>
      <c r="AS246" s="149"/>
      <c r="AT246" s="314">
        <f>AM245*BC248/BC240</f>
        <v>1351.8570270907185</v>
      </c>
      <c r="AU246" s="149"/>
      <c r="AV246" s="149"/>
      <c r="AW246" s="149"/>
      <c r="AX246" s="149"/>
      <c r="AY246" s="149"/>
      <c r="AZ246" s="191">
        <f>(AZ244+BB243)/2</f>
        <v>1241.8913430674124</v>
      </c>
      <c r="BA246" s="152">
        <f>((AQ243+AM243)/2)*BC248/BC240</f>
        <v>1657.6399445097445</v>
      </c>
      <c r="BB246" s="152">
        <f>((AQ244+AQ246/10)/2)*BC248/BC240</f>
        <v>557.00257559301258</v>
      </c>
      <c r="BC246" s="163">
        <f>(BC245+AO249)</f>
        <v>-6.4464020458081226</v>
      </c>
      <c r="BD246" s="171"/>
      <c r="BE246" s="151"/>
      <c r="BF246" s="163">
        <f>(BF239+BF244)/2</f>
        <v>205.0779569470842</v>
      </c>
      <c r="BG246" s="154">
        <f>(BF236+BG238)/2</f>
        <v>230.5087237698952</v>
      </c>
      <c r="BH246" s="154">
        <f>(BF235*BH238)</f>
        <v>1.1429031325500647E-3</v>
      </c>
      <c r="BI246" s="154">
        <f>(BF236+BG246)/2</f>
        <v>231.76200251254056</v>
      </c>
      <c r="BJ246" s="154">
        <f>(BI246-BF234)-(BF234-BF237)</f>
        <v>-4.6794635672653158</v>
      </c>
      <c r="BK246" s="191">
        <f>(BS246+BM246)/2</f>
        <v>1296.8446307966715</v>
      </c>
      <c r="BL246" s="149"/>
      <c r="BM246" s="314">
        <f>BF245*BV248/BV240</f>
        <v>1351.8222881073677</v>
      </c>
      <c r="BN246" s="149"/>
      <c r="BO246" s="149"/>
      <c r="BP246" s="149"/>
      <c r="BQ246" s="149"/>
      <c r="BR246" s="149"/>
      <c r="BS246" s="191">
        <f>(BS244+BU243)/2</f>
        <v>1241.8669734859754</v>
      </c>
      <c r="BT246" s="152">
        <f>((BJ243+BF243)/2)*BV248/BV240</f>
        <v>1657.7256688640707</v>
      </c>
      <c r="BU246" s="152">
        <f>((BJ244+BJ246/10)/2)*BV248/BV240</f>
        <v>557.0039286207799</v>
      </c>
      <c r="BV246" s="163">
        <f>(BV245+BH249)</f>
        <v>-6.6202233804256672</v>
      </c>
      <c r="BW246" s="171"/>
      <c r="BX246" s="151"/>
      <c r="BY246" s="797"/>
      <c r="BZ246" s="797"/>
      <c r="CA246" s="797"/>
      <c r="CB246" s="797"/>
      <c r="CC246" s="797"/>
      <c r="CD246" s="797"/>
      <c r="CE246" s="797"/>
      <c r="CF246" s="797"/>
      <c r="CG246" s="797"/>
      <c r="CH246" s="797"/>
      <c r="CI246" s="797"/>
      <c r="CJ246" s="797"/>
      <c r="CK246" s="797"/>
      <c r="CL246" s="797"/>
      <c r="CM246" s="797"/>
      <c r="CN246" s="797"/>
      <c r="CO246" s="797"/>
      <c r="CP246" s="797"/>
      <c r="CQ246" s="797"/>
      <c r="CR246" s="797"/>
      <c r="CS246" s="797"/>
      <c r="CT246" s="797"/>
      <c r="CU246" s="797"/>
    </row>
    <row r="247" spans="1:99" x14ac:dyDescent="0.25">
      <c r="A247" s="163">
        <f>(A235*-1)+A242</f>
        <v>-80.231760867547564</v>
      </c>
      <c r="B247" s="163">
        <f>(A248*-1)+A247</f>
        <v>-7.1263863772767309</v>
      </c>
      <c r="C247" s="163">
        <f>(B247/2)+A235</f>
        <v>0</v>
      </c>
      <c r="D247" s="154"/>
      <c r="E247" s="163">
        <f>(C247*A235)+D240</f>
        <v>7.7989786593852486</v>
      </c>
      <c r="F247" s="191">
        <f>A243*Q248/Q248</f>
        <v>148.12126140039544</v>
      </c>
      <c r="G247" s="191">
        <f>(E247+F247)</f>
        <v>155.9202400597807</v>
      </c>
      <c r="H247" s="149">
        <f>(O248+H245)/2</f>
        <v>1164.758476196859</v>
      </c>
      <c r="I247" s="149"/>
      <c r="J247" s="149"/>
      <c r="K247" s="149"/>
      <c r="L247" s="149"/>
      <c r="M247" s="149"/>
      <c r="N247" s="191">
        <f>(O244+H244+O244)/3</f>
        <v>1037.0390787653139</v>
      </c>
      <c r="O247" s="152">
        <f>((B238+E246)/2)*Q248/Q240</f>
        <v>491.60073133888221</v>
      </c>
      <c r="P247" s="152">
        <f>D243*Q248/Q240</f>
        <v>960.24239665821062</v>
      </c>
      <c r="Q247" s="248">
        <f>((Q246*Q245*C249*-1)*Q248*Q237*Q238)*0.326</f>
        <v>-898.45219163688955</v>
      </c>
      <c r="R247" s="171"/>
      <c r="S247" s="151"/>
      <c r="T247" s="163">
        <f>(T235*-1)+T242</f>
        <v>-80.200679358832645</v>
      </c>
      <c r="U247" s="163">
        <f>(T248*-1)+T247</f>
        <v>-6.7378675183397831</v>
      </c>
      <c r="V247" s="163">
        <f>(U247/2)+T235</f>
        <v>0</v>
      </c>
      <c r="W247" s="154"/>
      <c r="X247" s="163">
        <f>(V247*T235)+W240</f>
        <v>7.6995178314973955</v>
      </c>
      <c r="Y247" s="191">
        <f>T243*AJ248/AJ248</f>
        <v>147.83375744478207</v>
      </c>
      <c r="Z247" s="191">
        <f>(X247+Y247)</f>
        <v>155.53327527627945</v>
      </c>
      <c r="AA247" s="149">
        <f>(AH248+AA245)/2</f>
        <v>1164.6662697285956</v>
      </c>
      <c r="AB247" s="149"/>
      <c r="AC247" s="149"/>
      <c r="AD247" s="149"/>
      <c r="AE247" s="149"/>
      <c r="AF247" s="149"/>
      <c r="AG247" s="191">
        <f>(AH244+AA244+AH244)/3</f>
        <v>1037.383338780978</v>
      </c>
      <c r="AH247" s="152">
        <f>((U238+X246)/2)*AJ248/AJ240</f>
        <v>492.23771654564035</v>
      </c>
      <c r="AI247" s="152">
        <f>W243*AJ248/AJ240</f>
        <v>960.66247642908627</v>
      </c>
      <c r="AJ247" s="248">
        <f>((AJ246*AJ245*V249*-1)*AJ248*AJ237*AJ238)*0.326</f>
        <v>-267.30967062721356</v>
      </c>
      <c r="AK247" s="171"/>
      <c r="AL247" s="151"/>
      <c r="AM247" s="163">
        <f>(AM235*-1)+AM242</f>
        <v>-80.20605087386889</v>
      </c>
      <c r="AN247" s="163">
        <f>(AM248*-1)+AM247</f>
        <v>-6.8050114562936415</v>
      </c>
      <c r="AO247" s="163">
        <f>(AN247/2)+AM235</f>
        <v>0</v>
      </c>
      <c r="AP247" s="154"/>
      <c r="AQ247" s="163">
        <f>(AO247*AM235)+AP240</f>
        <v>7.7167066796135764</v>
      </c>
      <c r="AR247" s="191">
        <f>AM243*BC248/BC248</f>
        <v>147.88344395886801</v>
      </c>
      <c r="AS247" s="191">
        <f>(AQ247+AR247)</f>
        <v>155.60015063848158</v>
      </c>
      <c r="AT247" s="149">
        <f>(BA248+AT245)/2</f>
        <v>1464.8552365393671</v>
      </c>
      <c r="AU247" s="149"/>
      <c r="AV247" s="149"/>
      <c r="AW247" s="149"/>
      <c r="AX247" s="149"/>
      <c r="AY247" s="149"/>
      <c r="AZ247" s="191">
        <f>(BA244+AT244+BA244)/3</f>
        <v>1304.726037292309</v>
      </c>
      <c r="BA247" s="152">
        <f>((AN238+AQ246)/2)*BC248/BC240</f>
        <v>618.98865136315646</v>
      </c>
      <c r="BB247" s="152">
        <f>AP243*BC248/BC240</f>
        <v>1208.2115169203864</v>
      </c>
      <c r="BC247" s="248">
        <f>((BC246*BC245*AO249*-1)*BC248*BC237*BC238)*0.326</f>
        <v>-681.22530966686361</v>
      </c>
      <c r="BD247" s="171"/>
      <c r="BE247" s="151"/>
      <c r="BF247" s="163">
        <f>(BF235*-1)+BF242</f>
        <v>-80.209839529304531</v>
      </c>
      <c r="BG247" s="163">
        <f>(BF248*-1)+BF247</f>
        <v>-6.8523696492398471</v>
      </c>
      <c r="BH247" s="163">
        <f>(BG247/2)+BF235</f>
        <v>0</v>
      </c>
      <c r="BI247" s="154"/>
      <c r="BJ247" s="163">
        <f>(BH247*BF235)+BI240</f>
        <v>7.7288303770078031</v>
      </c>
      <c r="BK247" s="191">
        <f>BF243*BV248/BV248</f>
        <v>147.91848902164824</v>
      </c>
      <c r="BL247" s="191">
        <f>(BJ247+BK247)</f>
        <v>155.64731939865604</v>
      </c>
      <c r="BM247" s="149">
        <f>(BT248+BM245)/2</f>
        <v>1464.8693784255584</v>
      </c>
      <c r="BN247" s="149"/>
      <c r="BO247" s="149"/>
      <c r="BP247" s="149"/>
      <c r="BQ247" s="149"/>
      <c r="BR247" s="149"/>
      <c r="BS247" s="191">
        <f>(BT244+BM244+BT244)/3</f>
        <v>1304.673241113436</v>
      </c>
      <c r="BT247" s="152">
        <f>((BG238+BJ246)/2)*BV248/BV240</f>
        <v>618.89096245539713</v>
      </c>
      <c r="BU247" s="152">
        <f>BI243*BV248/BV240</f>
        <v>1208.147092921912</v>
      </c>
      <c r="BV247" s="248">
        <f>((BV246*BV245*BH249*-1)*BV248*BV237*BV238)*0.326</f>
        <v>-405.5342496250305</v>
      </c>
      <c r="BW247" s="171"/>
      <c r="BX247" s="151"/>
      <c r="BY247" s="797"/>
      <c r="BZ247" s="797"/>
      <c r="CA247" s="797"/>
      <c r="CB247" s="797"/>
      <c r="CC247" s="797"/>
      <c r="CD247" s="797"/>
      <c r="CE247" s="797"/>
      <c r="CF247" s="797"/>
      <c r="CG247" s="797"/>
      <c r="CH247" s="797"/>
      <c r="CI247" s="797"/>
      <c r="CJ247" s="797"/>
      <c r="CK247" s="797"/>
      <c r="CL247" s="797"/>
      <c r="CM247" s="797"/>
      <c r="CN247" s="797"/>
      <c r="CO247" s="797"/>
      <c r="CP247" s="797"/>
      <c r="CQ247" s="797"/>
      <c r="CR247" s="797"/>
      <c r="CS247" s="797"/>
      <c r="CT247" s="797"/>
      <c r="CU247" s="797"/>
    </row>
    <row r="248" spans="1:99" x14ac:dyDescent="0.25">
      <c r="A248" s="163">
        <f>A235+A242</f>
        <v>-73.105374490270833</v>
      </c>
      <c r="B248" s="163">
        <f>(A249+(A247*-1)+A248)</f>
        <v>-146.21074898054167</v>
      </c>
      <c r="C248" s="154">
        <f>(B248/10)</f>
        <v>-14.621074898054166</v>
      </c>
      <c r="D248" s="154"/>
      <c r="E248" s="154">
        <f>((D244+B245)/2)*Q248</f>
        <v>352.96832121144735</v>
      </c>
      <c r="F248" s="149">
        <f>((E243+B245)/2)*Q248/Q240</f>
        <v>1237.7231386421834</v>
      </c>
      <c r="G248" s="149"/>
      <c r="H248" s="149">
        <f>(Q249/2)</f>
        <v>161.39909727894073</v>
      </c>
      <c r="I248" s="149"/>
      <c r="J248" s="149"/>
      <c r="K248" s="149"/>
      <c r="L248" s="149"/>
      <c r="M248" s="149"/>
      <c r="N248" s="191">
        <f>(Q249/2)/Q240</f>
        <v>495.08925545687339</v>
      </c>
      <c r="O248" s="152">
        <f>E243*Q248/Q240</f>
        <v>1984.2809063511779</v>
      </c>
      <c r="P248" s="152">
        <f>((B235+A238)/2)*Q248/Q240</f>
        <v>1019.3871442023125</v>
      </c>
      <c r="Q248" s="322">
        <f>ROUND(O241,N249)</f>
        <v>1.4359999999999999</v>
      </c>
      <c r="R248" s="171"/>
      <c r="S248" s="151"/>
      <c r="T248" s="163">
        <f>T235+T242</f>
        <v>-73.462811840492861</v>
      </c>
      <c r="U248" s="163">
        <f>(T249+(T247*-1)+T248)</f>
        <v>-146.92562368098572</v>
      </c>
      <c r="V248" s="154">
        <f>(U248/10)</f>
        <v>-14.692562368098573</v>
      </c>
      <c r="W248" s="154"/>
      <c r="X248" s="154">
        <f>((W244+U245)/2)*AJ248</f>
        <v>194.55236864345167</v>
      </c>
      <c r="Y248" s="149">
        <f>((X243+U245)/2)*AJ248/AJ240</f>
        <v>1237.7231386421836</v>
      </c>
      <c r="Z248" s="149"/>
      <c r="AA248" s="149">
        <f>(AJ249/2)</f>
        <v>88.967539205600147</v>
      </c>
      <c r="AB248" s="149"/>
      <c r="AC248" s="149"/>
      <c r="AD248" s="149"/>
      <c r="AE248" s="149"/>
      <c r="AF248" s="149"/>
      <c r="AG248" s="191">
        <f>(AJ249/2)/AJ240</f>
        <v>495.08925545687339</v>
      </c>
      <c r="AH248" s="152">
        <f>X243*AJ248/AJ240</f>
        <v>1984.0690356522884</v>
      </c>
      <c r="AI248" s="152">
        <f>((U235+T238)/2)*AJ248/AJ240</f>
        <v>1019.6045073415581</v>
      </c>
      <c r="AJ248" s="322">
        <f>ROUND(AH241,AG249)</f>
        <v>0.79200000000000004</v>
      </c>
      <c r="AK248" s="171"/>
      <c r="AL248" s="151"/>
      <c r="AM248" s="163">
        <f>AM235+AM242</f>
        <v>-73.401039417575248</v>
      </c>
      <c r="AN248" s="163">
        <f>(AM249+(AM247*-1)+AM248)</f>
        <v>-146.8020788351505</v>
      </c>
      <c r="AO248" s="154">
        <f>(AN248/10)</f>
        <v>-14.680207883515049</v>
      </c>
      <c r="AP248" s="154"/>
      <c r="AQ248" s="154">
        <f>((AP244+AN245)/2)*BC248</f>
        <v>443.93170020121943</v>
      </c>
      <c r="AR248" s="149">
        <f>((AQ243+AN245)/2)*BC248/BC240</f>
        <v>1556.7844682208367</v>
      </c>
      <c r="AS248" s="149"/>
      <c r="AT248" s="149">
        <f>(BC249/2)</f>
        <v>203.00469465599713</v>
      </c>
      <c r="AU248" s="149"/>
      <c r="AV248" s="149"/>
      <c r="AW248" s="149"/>
      <c r="AX248" s="149"/>
      <c r="AY248" s="149"/>
      <c r="AZ248" s="191">
        <f>(BC249/2)/BC240</f>
        <v>622.71378728833474</v>
      </c>
      <c r="BA248" s="152">
        <f>AQ243*BC248/BC240</f>
        <v>2495.5701244990146</v>
      </c>
      <c r="BB248" s="152">
        <f>((AN235+AM238)/2)*BC248/BC240</f>
        <v>1282.3917596783901</v>
      </c>
      <c r="BC248" s="322">
        <f>ROUND(BA241,AZ249)</f>
        <v>1.8069999999999999</v>
      </c>
      <c r="BD248" s="171"/>
      <c r="BE248" s="151"/>
      <c r="BF248" s="163">
        <f>BF235+BF242</f>
        <v>-73.357469880064684</v>
      </c>
      <c r="BG248" s="163">
        <f>(BF249+(BF247*-1)+BF248)</f>
        <v>-146.71493976012937</v>
      </c>
      <c r="BH248" s="154">
        <f>(BG248/10)</f>
        <v>-14.671493976012936</v>
      </c>
      <c r="BI248" s="154"/>
      <c r="BJ248" s="154">
        <f>((BI244+BG245)/2)*BV248</f>
        <v>244.70917598055607</v>
      </c>
      <c r="BK248" s="149">
        <f>((BJ243+BG245)/2)*BV248/BV240</f>
        <v>1556.784468220837</v>
      </c>
      <c r="BL248" s="149"/>
      <c r="BM248" s="149">
        <f>(BV249/2)</f>
        <v>111.90166757571376</v>
      </c>
      <c r="BN248" s="149"/>
      <c r="BO248" s="149"/>
      <c r="BP248" s="149"/>
      <c r="BQ248" s="149"/>
      <c r="BR248" s="149"/>
      <c r="BS248" s="191">
        <f>(BV249/2)/BV240</f>
        <v>622.71378728833474</v>
      </c>
      <c r="BT248" s="152">
        <f>BJ243*BV248/BV240</f>
        <v>2495.602617274265</v>
      </c>
      <c r="BU248" s="152">
        <f>((BG235+BF238)/2)*BV248/BV240</f>
        <v>1282.3584245751028</v>
      </c>
      <c r="BV248" s="322">
        <f>ROUND(BT241,BS249)</f>
        <v>0.996</v>
      </c>
      <c r="BW248" s="171"/>
      <c r="BX248" s="151"/>
      <c r="BY248" s="797"/>
      <c r="BZ248" s="797"/>
      <c r="CA248" s="797"/>
      <c r="CB248" s="797"/>
      <c r="CC248" s="797"/>
      <c r="CD248" s="797"/>
      <c r="CE248" s="797"/>
      <c r="CF248" s="797"/>
      <c r="CG248" s="797"/>
      <c r="CH248" s="797"/>
      <c r="CI248" s="797"/>
      <c r="CJ248" s="797"/>
      <c r="CK248" s="797"/>
      <c r="CL248" s="797"/>
      <c r="CM248" s="797"/>
      <c r="CN248" s="797"/>
      <c r="CO248" s="797"/>
      <c r="CP248" s="797"/>
      <c r="CQ248" s="797"/>
      <c r="CR248" s="797"/>
      <c r="CS248" s="797"/>
      <c r="CT248" s="797"/>
      <c r="CU248" s="797"/>
    </row>
    <row r="249" spans="1:99" x14ac:dyDescent="0.25">
      <c r="A249" s="191">
        <f>(A247+A248)</f>
        <v>-153.3371353578184</v>
      </c>
      <c r="B249" s="149"/>
      <c r="C249" s="162">
        <f>INT(C242)-C242+N249</f>
        <v>2.8405067375368596</v>
      </c>
      <c r="D249" s="149"/>
      <c r="E249" s="191" t="s">
        <v>53</v>
      </c>
      <c r="F249" s="149">
        <f>((O249+B245+E243)/3)*Q248/Q240</f>
        <v>2506.6923636556412</v>
      </c>
      <c r="G249" s="149"/>
      <c r="H249" s="149">
        <f>ROUND(H248,2)</f>
        <v>161.4</v>
      </c>
      <c r="I249" s="149"/>
      <c r="J249" s="149"/>
      <c r="K249" s="149"/>
      <c r="L249" s="149"/>
      <c r="M249" s="149"/>
      <c r="N249" s="149">
        <v>3</v>
      </c>
      <c r="O249" s="152">
        <f>((B235+B245+E243)/3)*Q248/Q240</f>
        <v>1145.229557980859</v>
      </c>
      <c r="P249" s="191">
        <f>(Q249/Q248)</f>
        <v>224.78982907930464</v>
      </c>
      <c r="Q249" s="152">
        <f>P235*Q240</f>
        <v>322.79819455788146</v>
      </c>
      <c r="R249" s="171"/>
      <c r="S249" s="151"/>
      <c r="T249" s="191">
        <f>(T247+T248)</f>
        <v>-153.66349119932551</v>
      </c>
      <c r="U249" s="149"/>
      <c r="V249" s="162">
        <f>INT(V242)-V242+AG249</f>
        <v>2.6611711483069254</v>
      </c>
      <c r="W249" s="149"/>
      <c r="X249" s="191" t="s">
        <v>53</v>
      </c>
      <c r="Y249" s="149">
        <f>((AH249+U245+X243)/3)*AJ248/AJ240</f>
        <v>2507.8286162276981</v>
      </c>
      <c r="Z249" s="149"/>
      <c r="AA249" s="149">
        <f>ROUND(AA248,2)</f>
        <v>88.97</v>
      </c>
      <c r="AB249" s="149"/>
      <c r="AC249" s="149"/>
      <c r="AD249" s="149"/>
      <c r="AE249" s="149"/>
      <c r="AF249" s="149"/>
      <c r="AG249" s="149">
        <v>3</v>
      </c>
      <c r="AH249" s="152">
        <f>((U235+U245+X243)/3)*AJ248/AJ240</f>
        <v>1145.3695845711511</v>
      </c>
      <c r="AI249" s="191">
        <f>(AJ249/AJ248)</f>
        <v>224.66550304444482</v>
      </c>
      <c r="AJ249" s="152">
        <f>AI235*AJ240</f>
        <v>177.93507841120029</v>
      </c>
      <c r="AK249" s="171"/>
      <c r="AL249" s="151"/>
      <c r="AM249" s="191">
        <f>(AM247+AM248)</f>
        <v>-153.60709029144414</v>
      </c>
      <c r="AN249" s="149"/>
      <c r="AO249" s="162">
        <f>INT(AO242)-AO242+AZ249</f>
        <v>2.6920359486854508</v>
      </c>
      <c r="AP249" s="149"/>
      <c r="AQ249" s="191" t="s">
        <v>53</v>
      </c>
      <c r="AR249" s="149">
        <f>((BA249+AN245+AQ243)/3)*BC248/BC240</f>
        <v>3699.5663595995911</v>
      </c>
      <c r="AS249" s="149"/>
      <c r="AT249" s="149">
        <f>ROUND(AT248,2)</f>
        <v>203</v>
      </c>
      <c r="AU249" s="149"/>
      <c r="AV249" s="149"/>
      <c r="AW249" s="149"/>
      <c r="AX249" s="149"/>
      <c r="AY249" s="149"/>
      <c r="AZ249" s="149">
        <v>3</v>
      </c>
      <c r="BA249" s="152">
        <f>((AN235+AN245+AQ243)/3)*BC248/BC240</f>
        <v>1440.59348445402</v>
      </c>
      <c r="BB249" s="191">
        <f>(BC249/BC248)</f>
        <v>224.68698910459008</v>
      </c>
      <c r="BC249" s="152">
        <f>BB235*BC240</f>
        <v>406.00938931199425</v>
      </c>
      <c r="BD249" s="171"/>
      <c r="BE249" s="151"/>
      <c r="BF249" s="191">
        <f>(BF247+BF248)</f>
        <v>-153.56730940936922</v>
      </c>
      <c r="BG249" s="149"/>
      <c r="BH249" s="162">
        <f>INT(BH242)-BH242+BS249</f>
        <v>2.713839603228557</v>
      </c>
      <c r="BI249" s="149"/>
      <c r="BJ249" s="191" t="s">
        <v>53</v>
      </c>
      <c r="BK249" s="149">
        <f>((BT249+BG245+BJ243)/3)*BV248/BV240</f>
        <v>3699.3471705199022</v>
      </c>
      <c r="BL249" s="149"/>
      <c r="BM249" s="149">
        <f>ROUND(BM248,2)</f>
        <v>111.9</v>
      </c>
      <c r="BN249" s="149"/>
      <c r="BO249" s="149"/>
      <c r="BP249" s="149"/>
      <c r="BQ249" s="149"/>
      <c r="BR249" s="149"/>
      <c r="BS249" s="149">
        <v>3</v>
      </c>
      <c r="BT249" s="152">
        <f>((BG235+BG245+BJ243)/3)*BV248/BV240</f>
        <v>1440.5720097878618</v>
      </c>
      <c r="BU249" s="191">
        <f>(BV249/BV248)</f>
        <v>224.70214372633285</v>
      </c>
      <c r="BV249" s="152">
        <f>BU235*BV240</f>
        <v>223.80333515142752</v>
      </c>
      <c r="BW249" s="171"/>
      <c r="BX249" s="151"/>
      <c r="BY249" s="797"/>
      <c r="BZ249" s="797"/>
      <c r="CA249" s="797"/>
      <c r="CB249" s="797"/>
      <c r="CC249" s="797"/>
      <c r="CD249" s="797"/>
      <c r="CE249" s="797"/>
      <c r="CF249" s="797"/>
      <c r="CG249" s="797"/>
      <c r="CH249" s="797"/>
      <c r="CI249" s="797"/>
      <c r="CJ249" s="797"/>
      <c r="CK249" s="797"/>
      <c r="CL249" s="797"/>
      <c r="CM249" s="797"/>
      <c r="CN249" s="797"/>
      <c r="CO249" s="797"/>
      <c r="CP249" s="797"/>
      <c r="CQ249" s="797"/>
      <c r="CR249" s="797"/>
      <c r="CS249" s="797"/>
      <c r="CT249" s="797"/>
      <c r="CU249" s="797"/>
    </row>
    <row r="250" spans="1:99" x14ac:dyDescent="0.25">
      <c r="A250" s="171"/>
      <c r="B250" s="171"/>
      <c r="C250" s="171"/>
      <c r="D250" s="171"/>
      <c r="E250" s="171"/>
      <c r="F250" s="171"/>
      <c r="G250" s="171"/>
      <c r="H250" s="171"/>
      <c r="I250" s="171"/>
      <c r="J250" s="171"/>
      <c r="K250" s="171"/>
      <c r="L250" s="171"/>
      <c r="M250" s="171"/>
      <c r="N250" s="171"/>
      <c r="O250" s="171"/>
      <c r="P250" s="171" t="s">
        <v>54</v>
      </c>
      <c r="Q250" s="171"/>
      <c r="R250" s="171"/>
      <c r="S250" s="151"/>
      <c r="T250" s="171"/>
      <c r="U250" s="171"/>
      <c r="V250" s="171"/>
      <c r="W250" s="171"/>
      <c r="X250" s="171"/>
      <c r="Y250" s="171"/>
      <c r="Z250" s="171"/>
      <c r="AA250" s="171"/>
      <c r="AB250" s="171"/>
      <c r="AC250" s="171"/>
      <c r="AD250" s="171"/>
      <c r="AE250" s="171"/>
      <c r="AF250" s="171"/>
      <c r="AG250" s="171"/>
      <c r="AH250" s="171"/>
      <c r="AI250" s="171" t="s">
        <v>54</v>
      </c>
      <c r="AJ250" s="171"/>
      <c r="AK250" s="171"/>
      <c r="AL250" s="151"/>
      <c r="AM250" s="171"/>
      <c r="AN250" s="171"/>
      <c r="AO250" s="171"/>
      <c r="AP250" s="171"/>
      <c r="AQ250" s="171"/>
      <c r="AR250" s="171"/>
      <c r="AS250" s="171"/>
      <c r="AT250" s="171"/>
      <c r="AU250" s="171"/>
      <c r="AV250" s="171"/>
      <c r="AW250" s="171"/>
      <c r="AX250" s="171"/>
      <c r="AY250" s="171"/>
      <c r="AZ250" s="171"/>
      <c r="BA250" s="171"/>
      <c r="BB250" s="171" t="s">
        <v>54</v>
      </c>
      <c r="BC250" s="171"/>
      <c r="BD250" s="171"/>
      <c r="BE250" s="151"/>
      <c r="BF250" s="171"/>
      <c r="BG250" s="171"/>
      <c r="BH250" s="171"/>
      <c r="BI250" s="171"/>
      <c r="BJ250" s="171"/>
      <c r="BK250" s="171"/>
      <c r="BL250" s="171"/>
      <c r="BM250" s="171"/>
      <c r="BN250" s="171"/>
      <c r="BO250" s="171"/>
      <c r="BP250" s="171"/>
      <c r="BQ250" s="171"/>
      <c r="BR250" s="171"/>
      <c r="BS250" s="171"/>
      <c r="BT250" s="171"/>
      <c r="BU250" s="171" t="s">
        <v>54</v>
      </c>
      <c r="BV250" s="171"/>
      <c r="BW250" s="171"/>
      <c r="BX250" s="151"/>
      <c r="BY250" s="797"/>
      <c r="BZ250" s="797"/>
      <c r="CA250" s="797"/>
      <c r="CB250" s="797"/>
      <c r="CC250" s="797"/>
      <c r="CD250" s="797"/>
      <c r="CE250" s="797"/>
      <c r="CF250" s="797"/>
      <c r="CG250" s="797"/>
      <c r="CH250" s="797"/>
      <c r="CI250" s="797"/>
      <c r="CJ250" s="797"/>
      <c r="CK250" s="797"/>
      <c r="CL250" s="797"/>
      <c r="CM250" s="797"/>
      <c r="CN250" s="797"/>
      <c r="CO250" s="797"/>
      <c r="CP250" s="797"/>
      <c r="CQ250" s="797"/>
      <c r="CR250" s="797"/>
      <c r="CS250" s="797"/>
      <c r="CT250" s="797"/>
      <c r="CU250" s="797"/>
    </row>
    <row r="251" spans="1:99" x14ac:dyDescent="0.25">
      <c r="A251" s="171"/>
      <c r="B251" s="171"/>
      <c r="C251" s="171"/>
      <c r="D251" s="171"/>
      <c r="E251" s="171"/>
      <c r="F251" s="171"/>
      <c r="G251" s="171"/>
      <c r="H251" s="171"/>
      <c r="I251" s="171"/>
      <c r="J251" s="171"/>
      <c r="K251" s="171"/>
      <c r="L251" s="171"/>
      <c r="M251" s="171"/>
      <c r="N251" s="171"/>
      <c r="O251" s="171"/>
      <c r="P251" s="171"/>
      <c r="Q251" s="171"/>
      <c r="R251" s="171"/>
      <c r="S251" s="151"/>
      <c r="T251" s="171"/>
      <c r="U251" s="171"/>
      <c r="V251" s="171"/>
      <c r="W251" s="171"/>
      <c r="X251" s="171"/>
      <c r="Y251" s="171"/>
      <c r="Z251" s="171"/>
      <c r="AA251" s="171"/>
      <c r="AB251" s="171"/>
      <c r="AC251" s="171"/>
      <c r="AD251" s="171"/>
      <c r="AE251" s="171"/>
      <c r="AF251" s="171"/>
      <c r="AG251" s="171"/>
      <c r="AH251" s="171"/>
      <c r="AI251" s="171"/>
      <c r="AJ251" s="171"/>
      <c r="AK251" s="171"/>
      <c r="AL251" s="151"/>
      <c r="AM251" s="171"/>
      <c r="AN251" s="171"/>
      <c r="AO251" s="171"/>
      <c r="AP251" s="171"/>
      <c r="AQ251" s="171"/>
      <c r="AR251" s="171"/>
      <c r="AS251" s="171"/>
      <c r="AT251" s="171"/>
      <c r="AU251" s="171"/>
      <c r="AV251" s="171"/>
      <c r="AW251" s="171"/>
      <c r="AX251" s="171"/>
      <c r="AY251" s="171"/>
      <c r="AZ251" s="171"/>
      <c r="BA251" s="171"/>
      <c r="BB251" s="171"/>
      <c r="BC251" s="171"/>
      <c r="BD251" s="171"/>
      <c r="BE251" s="151"/>
      <c r="BF251" s="171"/>
      <c r="BG251" s="171"/>
      <c r="BH251" s="171"/>
      <c r="BI251" s="171"/>
      <c r="BJ251" s="171"/>
      <c r="BK251" s="171"/>
      <c r="BL251" s="171"/>
      <c r="BM251" s="171"/>
      <c r="BN251" s="171"/>
      <c r="BO251" s="171"/>
      <c r="BP251" s="171"/>
      <c r="BQ251" s="171"/>
      <c r="BR251" s="171"/>
      <c r="BS251" s="171"/>
      <c r="BT251" s="171"/>
      <c r="BU251" s="171"/>
      <c r="BV251" s="171"/>
      <c r="BW251" s="171"/>
      <c r="BX251" s="151"/>
      <c r="BY251" s="797"/>
      <c r="BZ251" s="797"/>
      <c r="CA251" s="797"/>
      <c r="CB251" s="797"/>
      <c r="CC251" s="797"/>
      <c r="CD251" s="797"/>
      <c r="CE251" s="797"/>
      <c r="CF251" s="797"/>
      <c r="CG251" s="797"/>
      <c r="CH251" s="797"/>
      <c r="CI251" s="797"/>
      <c r="CJ251" s="797"/>
      <c r="CK251" s="797"/>
      <c r="CL251" s="797"/>
      <c r="CM251" s="797"/>
      <c r="CN251" s="797"/>
      <c r="CO251" s="797"/>
      <c r="CP251" s="797"/>
      <c r="CQ251" s="797"/>
      <c r="CR251" s="797"/>
      <c r="CS251" s="797"/>
      <c r="CT251" s="797"/>
      <c r="CU251" s="797"/>
    </row>
    <row r="252" spans="1:99" x14ac:dyDescent="0.25">
      <c r="A252" s="171"/>
      <c r="B252" s="171"/>
      <c r="C252" s="171"/>
      <c r="D252" s="171"/>
      <c r="E252" s="171"/>
      <c r="F252" s="171"/>
      <c r="G252" s="171"/>
      <c r="H252" s="171"/>
      <c r="I252" s="171"/>
      <c r="J252" s="171"/>
      <c r="K252" s="171"/>
      <c r="L252" s="171"/>
      <c r="M252" s="171"/>
      <c r="N252" s="171"/>
      <c r="O252" s="171"/>
      <c r="P252" s="171"/>
      <c r="Q252" s="171"/>
      <c r="R252" s="171"/>
      <c r="S252" s="151"/>
      <c r="T252" s="171"/>
      <c r="U252" s="171"/>
      <c r="V252" s="171"/>
      <c r="W252" s="171"/>
      <c r="X252" s="171"/>
      <c r="Y252" s="171"/>
      <c r="Z252" s="171"/>
      <c r="AA252" s="171"/>
      <c r="AB252" s="171"/>
      <c r="AC252" s="171"/>
      <c r="AD252" s="171"/>
      <c r="AE252" s="171"/>
      <c r="AF252" s="171"/>
      <c r="AG252" s="171"/>
      <c r="AH252" s="171"/>
      <c r="AI252" s="171"/>
      <c r="AJ252" s="171"/>
      <c r="AK252" s="171"/>
      <c r="AL252" s="151"/>
      <c r="AM252" s="171"/>
      <c r="AN252" s="171"/>
      <c r="AO252" s="171"/>
      <c r="AP252" s="171"/>
      <c r="AQ252" s="171"/>
      <c r="AR252" s="171"/>
      <c r="AS252" s="171"/>
      <c r="AT252" s="171"/>
      <c r="AU252" s="171"/>
      <c r="AV252" s="171"/>
      <c r="AW252" s="171"/>
      <c r="AX252" s="171"/>
      <c r="AY252" s="171"/>
      <c r="AZ252" s="171"/>
      <c r="BA252" s="171"/>
      <c r="BB252" s="171"/>
      <c r="BC252" s="171"/>
      <c r="BD252" s="171"/>
      <c r="BE252" s="151"/>
      <c r="BF252" s="171"/>
      <c r="BG252" s="171"/>
      <c r="BH252" s="171"/>
      <c r="BI252" s="171"/>
      <c r="BJ252" s="171"/>
      <c r="BK252" s="171"/>
      <c r="BL252" s="171"/>
      <c r="BM252" s="171"/>
      <c r="BN252" s="171"/>
      <c r="BO252" s="171"/>
      <c r="BP252" s="171"/>
      <c r="BQ252" s="171"/>
      <c r="BR252" s="171"/>
      <c r="BS252" s="171"/>
      <c r="BT252" s="171"/>
      <c r="BU252" s="171"/>
      <c r="BV252" s="171"/>
      <c r="BW252" s="171"/>
      <c r="BX252" s="151"/>
      <c r="BY252" s="797"/>
      <c r="BZ252" s="797"/>
      <c r="CA252" s="797"/>
      <c r="CB252" s="797"/>
      <c r="CC252" s="797"/>
      <c r="CD252" s="797"/>
      <c r="CE252" s="797"/>
      <c r="CF252" s="797"/>
      <c r="CG252" s="797"/>
      <c r="CH252" s="797"/>
      <c r="CI252" s="797"/>
      <c r="CJ252" s="797"/>
      <c r="CK252" s="797"/>
      <c r="CL252" s="797"/>
      <c r="CM252" s="797"/>
      <c r="CN252" s="797"/>
      <c r="CO252" s="797"/>
      <c r="CP252" s="797"/>
      <c r="CQ252" s="797"/>
      <c r="CR252" s="797"/>
      <c r="CS252" s="797"/>
      <c r="CT252" s="797"/>
      <c r="CU252" s="797"/>
    </row>
    <row r="253" spans="1:99" x14ac:dyDescent="0.25">
      <c r="A253" s="171"/>
      <c r="B253" s="171"/>
      <c r="C253" s="171"/>
      <c r="D253" s="171"/>
      <c r="E253" s="171"/>
      <c r="F253" s="171"/>
      <c r="G253" s="171"/>
      <c r="H253" s="171"/>
      <c r="I253" s="171"/>
      <c r="J253" s="171"/>
      <c r="K253" s="171"/>
      <c r="L253" s="171"/>
      <c r="M253" s="171"/>
      <c r="N253" s="171"/>
      <c r="O253" s="171"/>
      <c r="P253" s="171"/>
      <c r="Q253" s="171"/>
      <c r="R253" s="171"/>
      <c r="S253" s="151"/>
      <c r="T253" s="171"/>
      <c r="U253" s="171"/>
      <c r="V253" s="171"/>
      <c r="W253" s="171"/>
      <c r="X253" s="171"/>
      <c r="Y253" s="171"/>
      <c r="Z253" s="171"/>
      <c r="AA253" s="171"/>
      <c r="AB253" s="171"/>
      <c r="AC253" s="171"/>
      <c r="AD253" s="171"/>
      <c r="AE253" s="171"/>
      <c r="AF253" s="171"/>
      <c r="AG253" s="171"/>
      <c r="AH253" s="171"/>
      <c r="AI253" s="171"/>
      <c r="AJ253" s="171"/>
      <c r="AK253" s="171"/>
      <c r="AL253" s="151"/>
      <c r="AM253" s="171"/>
      <c r="AN253" s="171"/>
      <c r="AO253" s="171"/>
      <c r="AP253" s="171"/>
      <c r="AQ253" s="171"/>
      <c r="AR253" s="171"/>
      <c r="AS253" s="171"/>
      <c r="AT253" s="171"/>
      <c r="AU253" s="171"/>
      <c r="AV253" s="171"/>
      <c r="AW253" s="171"/>
      <c r="AX253" s="171"/>
      <c r="AY253" s="171"/>
      <c r="AZ253" s="171"/>
      <c r="BA253" s="171"/>
      <c r="BB253" s="171"/>
      <c r="BC253" s="171"/>
      <c r="BD253" s="171"/>
      <c r="BE253" s="151"/>
      <c r="BF253" s="171"/>
      <c r="BG253" s="171"/>
      <c r="BH253" s="171"/>
      <c r="BI253" s="171"/>
      <c r="BJ253" s="171"/>
      <c r="BK253" s="171"/>
      <c r="BL253" s="171"/>
      <c r="BM253" s="171"/>
      <c r="BN253" s="171"/>
      <c r="BO253" s="171"/>
      <c r="BP253" s="171"/>
      <c r="BQ253" s="171"/>
      <c r="BR253" s="171"/>
      <c r="BS253" s="171"/>
      <c r="BT253" s="171"/>
      <c r="BU253" s="171"/>
      <c r="BV253" s="171"/>
      <c r="BW253" s="171"/>
      <c r="BX253" s="151"/>
      <c r="BY253" s="797"/>
      <c r="BZ253" s="797"/>
      <c r="CA253" s="797"/>
      <c r="CB253" s="797"/>
      <c r="CC253" s="797"/>
      <c r="CD253" s="797"/>
      <c r="CE253" s="797"/>
      <c r="CF253" s="797"/>
      <c r="CG253" s="797"/>
      <c r="CH253" s="797"/>
      <c r="CI253" s="797"/>
      <c r="CJ253" s="797"/>
      <c r="CK253" s="797"/>
      <c r="CL253" s="797"/>
      <c r="CM253" s="797"/>
      <c r="CN253" s="797"/>
      <c r="CO253" s="797"/>
      <c r="CP253" s="797"/>
      <c r="CQ253" s="797"/>
      <c r="CR253" s="797"/>
      <c r="CS253" s="797"/>
      <c r="CT253" s="797"/>
      <c r="CU253" s="797"/>
    </row>
    <row r="254" spans="1:99" x14ac:dyDescent="0.25">
      <c r="A254" s="83" t="s">
        <v>35</v>
      </c>
      <c r="B254" s="83" t="s">
        <v>36</v>
      </c>
      <c r="C254" s="84" t="s">
        <v>37</v>
      </c>
      <c r="D254" s="85" t="s">
        <v>10</v>
      </c>
      <c r="E254" s="85" t="s">
        <v>27</v>
      </c>
      <c r="F254" s="86" t="s">
        <v>38</v>
      </c>
      <c r="G254" s="86" t="s">
        <v>39</v>
      </c>
      <c r="H254" s="87" t="s">
        <v>40</v>
      </c>
      <c r="I254" s="87" t="s">
        <v>41</v>
      </c>
      <c r="J254" s="88" t="s">
        <v>42</v>
      </c>
      <c r="K254" s="88" t="s">
        <v>41</v>
      </c>
      <c r="L254" s="89" t="s">
        <v>43</v>
      </c>
      <c r="M254" s="90" t="str">
        <f>IF((G259+G258+G255+F257+F255+D258)&gt;=3,"Long","Short")</f>
        <v>Short</v>
      </c>
      <c r="N254" s="91">
        <f>(B285)</f>
        <v>172431.15812175939</v>
      </c>
      <c r="O254" s="91">
        <f>(B311)</f>
        <v>171511.67287645713</v>
      </c>
      <c r="P254" s="88">
        <f>(N254+N255+N256+N257+N258+N259)/6</f>
        <v>172611.82586313627</v>
      </c>
      <c r="Q254" s="88"/>
      <c r="R254" s="88"/>
      <c r="S254" s="88"/>
      <c r="T254" s="88"/>
      <c r="U254" s="88"/>
      <c r="V254" s="88"/>
      <c r="W254" s="88"/>
      <c r="X254" s="88"/>
      <c r="Y254" s="88"/>
      <c r="Z254" s="88"/>
      <c r="AA254" s="88"/>
      <c r="AB254" s="88"/>
      <c r="AC254" s="88"/>
      <c r="AD254" s="88"/>
      <c r="AE254" s="88"/>
      <c r="AF254" s="88"/>
      <c r="AG254" s="88"/>
      <c r="AH254" s="88"/>
      <c r="AI254" s="88"/>
      <c r="AJ254" s="88"/>
      <c r="AK254" s="88"/>
      <c r="AL254" s="88"/>
      <c r="AM254" s="430" t="s">
        <v>35</v>
      </c>
      <c r="AN254" s="430" t="s">
        <v>36</v>
      </c>
      <c r="AO254" s="431" t="s">
        <v>37</v>
      </c>
      <c r="AP254" s="432" t="s">
        <v>10</v>
      </c>
      <c r="AQ254" s="432" t="s">
        <v>27</v>
      </c>
      <c r="AR254" s="433" t="s">
        <v>38</v>
      </c>
      <c r="AS254" s="433" t="s">
        <v>39</v>
      </c>
      <c r="AT254" s="434" t="s">
        <v>40</v>
      </c>
      <c r="AU254" s="434" t="s">
        <v>41</v>
      </c>
      <c r="AV254" s="435" t="s">
        <v>42</v>
      </c>
      <c r="AW254" s="435" t="s">
        <v>41</v>
      </c>
      <c r="AX254" s="436" t="s">
        <v>43</v>
      </c>
      <c r="AY254" s="437" t="str">
        <f>IF((AS259+AS258+AS255+AR257+AR255+AP258)&gt;=3,"Long","Short")</f>
        <v>Short</v>
      </c>
      <c r="AZ254" s="438">
        <f>(AN285)</f>
        <v>139395.41789712416</v>
      </c>
      <c r="BA254" s="438">
        <f>(AN311)</f>
        <v>135395.84922441861</v>
      </c>
      <c r="BB254" s="435">
        <f>(AZ254+AZ255+AZ256+AZ257+AZ258+AZ259)/6</f>
        <v>139108.03955126429</v>
      </c>
      <c r="BC254" s="439"/>
      <c r="BD254" s="439"/>
      <c r="BE254" s="439"/>
      <c r="BF254" s="439"/>
      <c r="BG254" s="439"/>
      <c r="BH254" s="439"/>
      <c r="BI254" s="439"/>
      <c r="BJ254" s="439"/>
      <c r="BK254" s="439"/>
      <c r="BL254" s="439"/>
      <c r="BM254" s="439"/>
      <c r="BN254" s="439"/>
      <c r="BO254" s="439"/>
      <c r="BP254" s="439"/>
      <c r="BQ254" s="439"/>
      <c r="BR254" s="439"/>
      <c r="BS254" s="439"/>
      <c r="BT254" s="439"/>
      <c r="BU254" s="439"/>
      <c r="BV254" s="439"/>
      <c r="BW254" s="439"/>
      <c r="BX254" s="439"/>
      <c r="BY254" s="797"/>
      <c r="BZ254" s="797"/>
      <c r="CA254" s="797"/>
      <c r="CB254" s="797"/>
      <c r="CC254" s="797"/>
      <c r="CD254" s="797"/>
      <c r="CE254" s="797"/>
      <c r="CF254" s="797"/>
      <c r="CG254" s="797"/>
      <c r="CH254" s="797"/>
      <c r="CI254" s="797"/>
      <c r="CJ254" s="797"/>
      <c r="CK254" s="797"/>
      <c r="CL254" s="797"/>
      <c r="CM254" s="797"/>
      <c r="CN254" s="797"/>
      <c r="CO254" s="797"/>
      <c r="CP254" s="797"/>
      <c r="CQ254" s="797"/>
      <c r="CR254" s="797"/>
      <c r="CS254" s="797"/>
      <c r="CT254" s="797"/>
      <c r="CU254" s="797"/>
    </row>
    <row r="255" spans="1:99" ht="15.75" thickBot="1" x14ac:dyDescent="0.3">
      <c r="A255" s="83">
        <f>P20</f>
        <v>172693</v>
      </c>
      <c r="B255" s="83">
        <f>Q20</f>
        <v>172305</v>
      </c>
      <c r="C255" s="84">
        <v>1</v>
      </c>
      <c r="D255" s="34">
        <f>S24</f>
        <v>172433</v>
      </c>
      <c r="E255" s="85">
        <v>1</v>
      </c>
      <c r="F255" s="92" t="str">
        <f>(D283)</f>
        <v>0</v>
      </c>
      <c r="G255" s="93" t="str">
        <f>G268</f>
        <v>0</v>
      </c>
      <c r="H255" s="94">
        <f>L296</f>
        <v>1</v>
      </c>
      <c r="I255" s="87">
        <f>Q28</f>
        <v>1349</v>
      </c>
      <c r="J255" s="95">
        <f>L294</f>
        <v>0.40000000000145519</v>
      </c>
      <c r="K255" s="88">
        <f>S13</f>
        <v>-51492</v>
      </c>
      <c r="L255" s="96">
        <f>B259</f>
        <v>172414.74813869863</v>
      </c>
      <c r="M255" s="89">
        <f>(A259+B259)/2</f>
        <v>172223.26790667776</v>
      </c>
      <c r="N255" s="91">
        <f>(A294)</f>
        <v>172457.86321486128</v>
      </c>
      <c r="O255" s="91">
        <f>(A320)</f>
        <v>171536.87742049858</v>
      </c>
      <c r="P255" s="88">
        <f>(O254+O255+O256+O257+O258+O259)/6</f>
        <v>171566.19958692417</v>
      </c>
      <c r="Q255" s="88"/>
      <c r="R255" s="88"/>
      <c r="S255" s="88"/>
      <c r="T255" s="88"/>
      <c r="U255" s="88"/>
      <c r="V255" s="88"/>
      <c r="W255" s="88"/>
      <c r="X255" s="88"/>
      <c r="Y255" s="88"/>
      <c r="Z255" s="88"/>
      <c r="AA255" s="88"/>
      <c r="AB255" s="88"/>
      <c r="AC255" s="88"/>
      <c r="AD255" s="88"/>
      <c r="AE255" s="88"/>
      <c r="AF255" s="88"/>
      <c r="AG255" s="88"/>
      <c r="AH255" s="88"/>
      <c r="AI255" s="88"/>
      <c r="AJ255" s="88"/>
      <c r="AK255" s="88"/>
      <c r="AL255" s="88"/>
      <c r="AM255" s="430">
        <f>T20</f>
        <v>137699</v>
      </c>
      <c r="AN255" s="430">
        <f>U20</f>
        <v>137212</v>
      </c>
      <c r="AO255" s="431">
        <v>1</v>
      </c>
      <c r="AP255" s="440">
        <f>W24</f>
        <v>137251</v>
      </c>
      <c r="AQ255" s="432">
        <v>1</v>
      </c>
      <c r="AR255" s="441" t="str">
        <f>(AP283)</f>
        <v>0</v>
      </c>
      <c r="AS255" s="442" t="str">
        <f>AS268</f>
        <v>0</v>
      </c>
      <c r="AT255" s="443">
        <f>AX296</f>
        <v>1</v>
      </c>
      <c r="AU255" s="434">
        <f>U28</f>
        <v>647</v>
      </c>
      <c r="AV255" s="444">
        <f>AX294</f>
        <v>1</v>
      </c>
      <c r="AW255" s="435">
        <f>W13</f>
        <v>-41211</v>
      </c>
      <c r="AX255" s="445">
        <f>AN259</f>
        <v>137587.84191123833</v>
      </c>
      <c r="AY255" s="436">
        <f>(AM259+AN259)/2</f>
        <v>137166.24881128047</v>
      </c>
      <c r="AZ255" s="438">
        <f>(AM294)</f>
        <v>139420.71944529901</v>
      </c>
      <c r="BA255" s="438">
        <f>(AM320)</f>
        <v>135421.49003805235</v>
      </c>
      <c r="BB255" s="435">
        <f>(BA254+BA255+BA256+BA257+BA258+BA259)/6</f>
        <v>135584.77149851166</v>
      </c>
      <c r="BC255" s="439"/>
      <c r="BD255" s="439"/>
      <c r="BE255" s="439"/>
      <c r="BF255" s="439"/>
      <c r="BG255" s="439"/>
      <c r="BH255" s="439"/>
      <c r="BI255" s="439"/>
      <c r="BJ255" s="439"/>
      <c r="BK255" s="439"/>
      <c r="BL255" s="439"/>
      <c r="BM255" s="439"/>
      <c r="BN255" s="439"/>
      <c r="BO255" s="439"/>
      <c r="BP255" s="439"/>
      <c r="BQ255" s="439"/>
      <c r="BR255" s="439"/>
      <c r="BS255" s="439"/>
      <c r="BT255" s="439"/>
      <c r="BU255" s="439"/>
      <c r="BV255" s="439"/>
      <c r="BW255" s="439"/>
      <c r="BX255" s="439"/>
      <c r="BY255" s="797"/>
      <c r="BZ255" s="797"/>
      <c r="CA255" s="797"/>
      <c r="CB255" s="797"/>
      <c r="CC255" s="797"/>
      <c r="CD255" s="797"/>
      <c r="CE255" s="797"/>
      <c r="CF255" s="797"/>
      <c r="CG255" s="797"/>
      <c r="CH255" s="797"/>
      <c r="CI255" s="797"/>
      <c r="CJ255" s="797"/>
      <c r="CK255" s="797"/>
      <c r="CL255" s="797"/>
      <c r="CM255" s="797"/>
      <c r="CN255" s="797"/>
      <c r="CO255" s="797"/>
      <c r="CP255" s="797"/>
      <c r="CQ255" s="797"/>
      <c r="CR255" s="797"/>
      <c r="CS255" s="797"/>
      <c r="CT255" s="797"/>
      <c r="CU255" s="797"/>
    </row>
    <row r="256" spans="1:99" x14ac:dyDescent="0.25">
      <c r="A256" s="83">
        <f>P22</f>
        <v>172632</v>
      </c>
      <c r="B256" s="83">
        <f>Q22</f>
        <v>171622</v>
      </c>
      <c r="C256" s="84">
        <v>2</v>
      </c>
      <c r="D256" s="34">
        <f>S25</f>
        <v>172368</v>
      </c>
      <c r="E256" s="85">
        <v>2</v>
      </c>
      <c r="F256" s="86" t="s">
        <v>44</v>
      </c>
      <c r="G256" s="97">
        <f>H267</f>
        <v>171.90844721837908</v>
      </c>
      <c r="H256" s="94">
        <f>D286</f>
        <v>1</v>
      </c>
      <c r="I256" s="87">
        <f>Q29</f>
        <v>387</v>
      </c>
      <c r="J256" s="95">
        <f>D288</f>
        <v>0.30000000000291038</v>
      </c>
      <c r="K256" s="88">
        <f>S14</f>
        <v>-51749</v>
      </c>
      <c r="L256" s="98">
        <f>A262</f>
        <v>172.36877803938785</v>
      </c>
      <c r="M256" s="99">
        <f>(B285+F298+A294+B311+F324)/5</f>
        <v>172118.2292699322</v>
      </c>
      <c r="N256" s="100">
        <f>(F298)</f>
        <v>172486.45746225381</v>
      </c>
      <c r="O256" s="91">
        <f>(F324)</f>
        <v>171703.99467432956</v>
      </c>
      <c r="P256" s="6">
        <f>(P255+P254)/2</f>
        <v>172089.01272503022</v>
      </c>
      <c r="Q256" s="88"/>
      <c r="R256" s="88"/>
      <c r="S256" s="88"/>
      <c r="T256" s="88"/>
      <c r="U256" s="88"/>
      <c r="V256" s="88"/>
      <c r="W256" s="88"/>
      <c r="X256" s="88"/>
      <c r="Y256" s="88"/>
      <c r="Z256" s="88"/>
      <c r="AA256" s="88"/>
      <c r="AB256" s="88"/>
      <c r="AC256" s="88"/>
      <c r="AD256" s="88"/>
      <c r="AE256" s="88"/>
      <c r="AF256" s="88"/>
      <c r="AG256" s="88"/>
      <c r="AH256" s="88"/>
      <c r="AI256" s="88"/>
      <c r="AJ256" s="88"/>
      <c r="AK256" s="88"/>
      <c r="AL256" s="88"/>
      <c r="AM256" s="430">
        <v>137040</v>
      </c>
      <c r="AN256" s="430">
        <f>U22</f>
        <v>137344</v>
      </c>
      <c r="AO256" s="431">
        <v>2</v>
      </c>
      <c r="AP256" s="440">
        <f>W25</f>
        <v>137220</v>
      </c>
      <c r="AQ256" s="432">
        <v>2</v>
      </c>
      <c r="AR256" s="433" t="s">
        <v>44</v>
      </c>
      <c r="AS256" s="446">
        <f>AT267</f>
        <v>137.55344718103271</v>
      </c>
      <c r="AT256" s="443">
        <f>AP286</f>
        <v>1</v>
      </c>
      <c r="AU256" s="434">
        <f>U29</f>
        <v>486</v>
      </c>
      <c r="AV256" s="444">
        <f>AP288</f>
        <v>0.34999999999854481</v>
      </c>
      <c r="AW256" s="435">
        <f>W14</f>
        <v>-41236</v>
      </c>
      <c r="AX256" s="447">
        <f>AM262</f>
        <v>1.3694319402712796</v>
      </c>
      <c r="AY256" s="448">
        <f>(AN285+AR298+AM294+AN311+AR324)/5</f>
        <v>137824.96580890444</v>
      </c>
      <c r="AZ256" s="449">
        <f>(AR298)</f>
        <v>139156.13614505384</v>
      </c>
      <c r="BA256" s="438">
        <f>(AR324)</f>
        <v>135756.70633262669</v>
      </c>
      <c r="BB256" s="450">
        <f>(BB255+BB254)/2</f>
        <v>137346.40552488796</v>
      </c>
      <c r="BC256" s="439"/>
      <c r="BD256" s="439"/>
      <c r="BE256" s="439"/>
      <c r="BF256" s="439"/>
      <c r="BG256" s="439"/>
      <c r="BH256" s="439"/>
      <c r="BI256" s="439"/>
      <c r="BJ256" s="439"/>
      <c r="BK256" s="439"/>
      <c r="BL256" s="439"/>
      <c r="BM256" s="439"/>
      <c r="BN256" s="439"/>
      <c r="BO256" s="439"/>
      <c r="BP256" s="439"/>
      <c r="BQ256" s="439"/>
      <c r="BR256" s="439"/>
      <c r="BS256" s="439"/>
      <c r="BT256" s="439"/>
      <c r="BU256" s="439"/>
      <c r="BV256" s="439"/>
      <c r="BW256" s="439"/>
      <c r="BX256" s="439"/>
      <c r="BY256" s="797"/>
      <c r="BZ256" s="797"/>
      <c r="CA256" s="797"/>
      <c r="CB256" s="797"/>
      <c r="CC256" s="797"/>
      <c r="CD256" s="797"/>
      <c r="CE256" s="797"/>
      <c r="CF256" s="797"/>
      <c r="CG256" s="797"/>
      <c r="CH256" s="797"/>
      <c r="CI256" s="797"/>
      <c r="CJ256" s="797"/>
      <c r="CK256" s="797"/>
      <c r="CL256" s="797"/>
      <c r="CM256" s="797"/>
      <c r="CN256" s="797"/>
      <c r="CO256" s="797"/>
      <c r="CP256" s="797"/>
      <c r="CQ256" s="797"/>
      <c r="CR256" s="797"/>
      <c r="CS256" s="797"/>
      <c r="CT256" s="797"/>
      <c r="CU256" s="797"/>
    </row>
    <row r="257" spans="1:99" x14ac:dyDescent="0.25">
      <c r="A257" s="83">
        <f>P24</f>
        <v>172401</v>
      </c>
      <c r="B257" s="83">
        <f>Q24</f>
        <v>171886</v>
      </c>
      <c r="C257" s="84">
        <v>3</v>
      </c>
      <c r="D257" s="34">
        <f>S26</f>
        <v>172564</v>
      </c>
      <c r="E257" s="85">
        <v>3</v>
      </c>
      <c r="F257" s="92" t="str">
        <f>F283</f>
        <v>0</v>
      </c>
      <c r="G257" s="86">
        <f>A268</f>
        <v>171.44287225223934</v>
      </c>
      <c r="H257" s="101">
        <f>F286</f>
        <v>0.65620758026489057</v>
      </c>
      <c r="I257" s="87">
        <f>Q30</f>
        <v>511</v>
      </c>
      <c r="J257" s="95">
        <f>F288</f>
        <v>0.38934085091750603</v>
      </c>
      <c r="K257" s="88">
        <f>S15</f>
        <v>-51706</v>
      </c>
      <c r="L257" s="102">
        <f>H261</f>
        <v>172.27740995732205</v>
      </c>
      <c r="M257" s="103">
        <f>(F297+A285+A293+A311+F323)/5</f>
        <v>172280.65030194088</v>
      </c>
      <c r="N257" s="91">
        <f>(A285)</f>
        <v>172783.87044342127</v>
      </c>
      <c r="O257" s="91">
        <f>A311</f>
        <v>171458.94791914604</v>
      </c>
      <c r="P257" s="91">
        <f>ABS(B259-P256)</f>
        <v>325.73541366841528</v>
      </c>
      <c r="Q257" s="88"/>
      <c r="R257" s="88"/>
      <c r="S257" s="88"/>
      <c r="T257" s="88"/>
      <c r="U257" s="88"/>
      <c r="V257" s="88"/>
      <c r="W257" s="88"/>
      <c r="X257" s="88"/>
      <c r="Y257" s="88"/>
      <c r="Z257" s="88"/>
      <c r="AA257" s="88"/>
      <c r="AB257" s="88"/>
      <c r="AC257" s="88"/>
      <c r="AD257" s="88"/>
      <c r="AE257" s="88"/>
      <c r="AF257" s="88"/>
      <c r="AG257" s="88"/>
      <c r="AH257" s="88"/>
      <c r="AI257" s="88"/>
      <c r="AJ257" s="88"/>
      <c r="AK257" s="88"/>
      <c r="AL257" s="88"/>
      <c r="AM257" s="430">
        <f>T24</f>
        <v>137974</v>
      </c>
      <c r="AN257" s="430">
        <f>U24</f>
        <v>137497</v>
      </c>
      <c r="AO257" s="431">
        <v>3</v>
      </c>
      <c r="AP257" s="440">
        <f>W26</f>
        <v>137398</v>
      </c>
      <c r="AQ257" s="432">
        <v>3</v>
      </c>
      <c r="AR257" s="441" t="str">
        <f>AR283</f>
        <v>1</v>
      </c>
      <c r="AS257" s="433">
        <f>AM268</f>
        <v>137.40518151449524</v>
      </c>
      <c r="AT257" s="451">
        <f>AR286</f>
        <v>0.65244885787251405</v>
      </c>
      <c r="AU257" s="434">
        <f>U30</f>
        <v>-92</v>
      </c>
      <c r="AV257" s="444">
        <f>AR288</f>
        <v>0.74609346763463691</v>
      </c>
      <c r="AW257" s="435">
        <f>W15</f>
        <v>-41203</v>
      </c>
      <c r="AX257" s="452">
        <f>AT261</f>
        <v>1.362402621134589</v>
      </c>
      <c r="AY257" s="453">
        <f>(AR297+AM285+AM293+AM311+AR323)/5</f>
        <v>137637.81143560572</v>
      </c>
      <c r="AZ257" s="438">
        <f>(AM285)</f>
        <v>138942.88194060998</v>
      </c>
      <c r="BA257" s="438">
        <f>AM311</f>
        <v>135611.62384651304</v>
      </c>
      <c r="BB257" s="438">
        <f>ABS(AN259-BB256)</f>
        <v>241.43638635036768</v>
      </c>
      <c r="BC257" s="439"/>
      <c r="BD257" s="439"/>
      <c r="BE257" s="439"/>
      <c r="BF257" s="439"/>
      <c r="BG257" s="439"/>
      <c r="BH257" s="439"/>
      <c r="BI257" s="439"/>
      <c r="BJ257" s="439"/>
      <c r="BK257" s="439"/>
      <c r="BL257" s="439"/>
      <c r="BM257" s="439"/>
      <c r="BN257" s="439"/>
      <c r="BO257" s="439"/>
      <c r="BP257" s="439"/>
      <c r="BQ257" s="439"/>
      <c r="BR257" s="439"/>
      <c r="BS257" s="439"/>
      <c r="BT257" s="439"/>
      <c r="BU257" s="439"/>
      <c r="BV257" s="439"/>
      <c r="BW257" s="439"/>
      <c r="BX257" s="439"/>
      <c r="BY257" s="797"/>
      <c r="BZ257" s="797"/>
      <c r="CA257" s="797"/>
      <c r="CB257" s="797"/>
      <c r="CC257" s="797"/>
      <c r="CD257" s="797"/>
      <c r="CE257" s="797"/>
      <c r="CF257" s="797"/>
      <c r="CG257" s="797"/>
      <c r="CH257" s="797"/>
      <c r="CI257" s="797"/>
      <c r="CJ257" s="797"/>
      <c r="CK257" s="797"/>
      <c r="CL257" s="797"/>
      <c r="CM257" s="797"/>
      <c r="CN257" s="797"/>
      <c r="CO257" s="797"/>
      <c r="CP257" s="797"/>
      <c r="CQ257" s="797"/>
      <c r="CR257" s="797"/>
      <c r="CS257" s="797"/>
      <c r="CT257" s="797"/>
      <c r="CU257" s="797"/>
    </row>
    <row r="258" spans="1:99" x14ac:dyDescent="0.25">
      <c r="A258" s="83">
        <f>P26</f>
        <v>172317</v>
      </c>
      <c r="B258" s="83">
        <f>Q26</f>
        <v>170967</v>
      </c>
      <c r="C258" s="84">
        <v>4</v>
      </c>
      <c r="D258" s="104" t="str">
        <f>G262</f>
        <v>0</v>
      </c>
      <c r="E258" s="105">
        <f>H261</f>
        <v>172.27740995732205</v>
      </c>
      <c r="F258" s="86">
        <v>1000</v>
      </c>
      <c r="G258" s="97" t="str">
        <f>IF((H267-G267)-(A268-G267)&gt;0,"0","1")</f>
        <v>0</v>
      </c>
      <c r="H258" s="94">
        <f>H286</f>
        <v>0.22400012551224791</v>
      </c>
      <c r="I258" s="87">
        <f>Q31</f>
        <v>39</v>
      </c>
      <c r="J258" s="95">
        <f>H288</f>
        <v>0.36952189382282086</v>
      </c>
      <c r="K258" s="88">
        <f>S16</f>
        <v>-51690</v>
      </c>
      <c r="L258" s="106">
        <f>A259</f>
        <v>172031.78767465689</v>
      </c>
      <c r="M258" s="89" t="s">
        <v>45</v>
      </c>
      <c r="N258" s="91">
        <f>(A293)</f>
        <v>172777.26800085552</v>
      </c>
      <c r="O258" s="91">
        <f>A320</f>
        <v>171536.87742049858</v>
      </c>
      <c r="P258" s="107">
        <f>ABS(A259-P256)</f>
        <v>57.225050373323029</v>
      </c>
      <c r="Q258" s="88"/>
      <c r="R258" s="88"/>
      <c r="S258" s="88"/>
      <c r="T258" s="88"/>
      <c r="U258" s="88"/>
      <c r="V258" s="88"/>
      <c r="W258" s="88"/>
      <c r="X258" s="88"/>
      <c r="Y258" s="88"/>
      <c r="Z258" s="88"/>
      <c r="AA258" s="88"/>
      <c r="AB258" s="88"/>
      <c r="AC258" s="88"/>
      <c r="AD258" s="88"/>
      <c r="AE258" s="88"/>
      <c r="AF258" s="88"/>
      <c r="AG258" s="88"/>
      <c r="AH258" s="88"/>
      <c r="AI258" s="88"/>
      <c r="AJ258" s="88"/>
      <c r="AK258" s="88"/>
      <c r="AL258" s="88"/>
      <c r="AM258" s="430">
        <f>T26</f>
        <v>137694</v>
      </c>
      <c r="AN258" s="430">
        <f>U26</f>
        <v>137046</v>
      </c>
      <c r="AO258" s="431">
        <v>4</v>
      </c>
      <c r="AP258" s="454" t="str">
        <f>AS262</f>
        <v>1</v>
      </c>
      <c r="AQ258" s="455">
        <f>AT261</f>
        <v>1.362402621134589</v>
      </c>
      <c r="AR258" s="433">
        <v>1000</v>
      </c>
      <c r="AS258" s="446" t="str">
        <f>IF((AT267-AS267)-(AM268-AS267)&gt;0,"0","1")</f>
        <v>0</v>
      </c>
      <c r="AT258" s="443">
        <f>AT286</f>
        <v>0.75559880147920921</v>
      </c>
      <c r="AU258" s="434">
        <f>U31</f>
        <v>39</v>
      </c>
      <c r="AV258" s="444">
        <f>AT288</f>
        <v>0.70351169522473356</v>
      </c>
      <c r="AW258" s="456">
        <f>W16</f>
        <v>-41248</v>
      </c>
      <c r="AX258" s="457">
        <f>AM259</f>
        <v>136744.65571132264</v>
      </c>
      <c r="AY258" s="436" t="s">
        <v>45</v>
      </c>
      <c r="AZ258" s="438">
        <f>(AM293)</f>
        <v>138933.62629748197</v>
      </c>
      <c r="BA258" s="438">
        <f>AM320</f>
        <v>135421.49003805235</v>
      </c>
      <c r="BB258" s="458">
        <f>ABS(AM259-BB256)</f>
        <v>601.74981356531498</v>
      </c>
      <c r="BC258" s="439"/>
      <c r="BD258" s="439"/>
      <c r="BE258" s="439"/>
      <c r="BF258" s="439"/>
      <c r="BG258" s="439"/>
      <c r="BH258" s="439"/>
      <c r="BI258" s="439"/>
      <c r="BJ258" s="439"/>
      <c r="BK258" s="439"/>
      <c r="BL258" s="439"/>
      <c r="BM258" s="439"/>
      <c r="BN258" s="439"/>
      <c r="BO258" s="439"/>
      <c r="BP258" s="439"/>
      <c r="BQ258" s="439"/>
      <c r="BR258" s="439"/>
      <c r="BS258" s="439"/>
      <c r="BT258" s="439"/>
      <c r="BU258" s="439"/>
      <c r="BV258" s="439"/>
      <c r="BW258" s="439"/>
      <c r="BX258" s="439"/>
      <c r="BY258" s="797"/>
      <c r="BZ258" s="797"/>
      <c r="CA258" s="797"/>
      <c r="CB258" s="797"/>
      <c r="CC258" s="797"/>
      <c r="CD258" s="797"/>
      <c r="CE258" s="797"/>
      <c r="CF258" s="797"/>
      <c r="CG258" s="797"/>
      <c r="CH258" s="797"/>
      <c r="CI258" s="797"/>
      <c r="CJ258" s="797"/>
      <c r="CK258" s="797"/>
      <c r="CL258" s="797"/>
      <c r="CM258" s="797"/>
      <c r="CN258" s="797"/>
      <c r="CO258" s="797"/>
      <c r="CP258" s="797"/>
      <c r="CQ258" s="797"/>
      <c r="CR258" s="797"/>
      <c r="CS258" s="797"/>
      <c r="CT258" s="797"/>
      <c r="CU258" s="797"/>
    </row>
    <row r="259" spans="1:99" ht="15.75" thickBot="1" x14ac:dyDescent="0.3">
      <c r="A259" s="108">
        <f>(G290+G289)/2</f>
        <v>172031.78767465689</v>
      </c>
      <c r="B259" s="93">
        <f>G290</f>
        <v>172414.74813869863</v>
      </c>
      <c r="C259" s="109">
        <f>S21</f>
        <v>-1</v>
      </c>
      <c r="D259" s="110">
        <f>A262</f>
        <v>172.36877803938785</v>
      </c>
      <c r="E259" s="111">
        <f>(E258-D259)</f>
        <v>-9.1368082065798717E-2</v>
      </c>
      <c r="F259" s="93" t="s">
        <v>13</v>
      </c>
      <c r="G259" s="97" t="str">
        <f>G277</f>
        <v>0</v>
      </c>
      <c r="H259" s="94">
        <f>(H258+H257+H256+H255)</f>
        <v>2.8802077057771385</v>
      </c>
      <c r="I259" s="87" t="str">
        <f>IF((H259)&lt;4,"RIGTH","WRONG")</f>
        <v>RIGTH</v>
      </c>
      <c r="J259" s="88" t="str">
        <f>IF((J258+J257++J256+J255)&gt;0,"RIGTH","WRONG")</f>
        <v>RIGTH</v>
      </c>
      <c r="K259" s="112">
        <v>-920.01499999999999</v>
      </c>
      <c r="L259" s="102">
        <f>G261</f>
        <v>171.93778338619217</v>
      </c>
      <c r="M259" s="102">
        <f>Q347</f>
        <v>172.17977929200023</v>
      </c>
      <c r="N259" s="100">
        <f>(F297)</f>
        <v>172734.33793566641</v>
      </c>
      <c r="O259" s="91">
        <f>(F323)</f>
        <v>171648.82721061513</v>
      </c>
      <c r="P259" s="113" t="str">
        <f>IF(P257&gt;P258,"short","long")</f>
        <v>short</v>
      </c>
      <c r="Q259" s="88"/>
      <c r="R259" s="88"/>
      <c r="S259" s="88"/>
      <c r="T259" s="88"/>
      <c r="U259" s="88"/>
      <c r="V259" s="88"/>
      <c r="W259" s="88"/>
      <c r="X259" s="88"/>
      <c r="Y259" s="88"/>
      <c r="Z259" s="88"/>
      <c r="AA259" s="88"/>
      <c r="AB259" s="88"/>
      <c r="AC259" s="88"/>
      <c r="AD259" s="88"/>
      <c r="AE259" s="88"/>
      <c r="AF259" s="88"/>
      <c r="AG259" s="88"/>
      <c r="AH259" s="88"/>
      <c r="AI259" s="88"/>
      <c r="AJ259" s="88"/>
      <c r="AK259" s="88"/>
      <c r="AL259" s="88"/>
      <c r="AM259" s="459">
        <f>(AS290+AS289)/2</f>
        <v>136744.65571132264</v>
      </c>
      <c r="AN259" s="442">
        <f>AS290</f>
        <v>137587.84191123833</v>
      </c>
      <c r="AO259" s="460">
        <f>W21</f>
        <v>-1</v>
      </c>
      <c r="AP259" s="461">
        <f>AM262</f>
        <v>1.3694319402712796</v>
      </c>
      <c r="AQ259" s="462">
        <f>(AQ258-AP259)</f>
        <v>-7.0293191366905816E-3</v>
      </c>
      <c r="AR259" s="442" t="s">
        <v>13</v>
      </c>
      <c r="AS259" s="446" t="str">
        <f>AS277</f>
        <v>0</v>
      </c>
      <c r="AT259" s="443">
        <f>(AT258+AT257+AT256+AT255)</f>
        <v>3.4080476593517233</v>
      </c>
      <c r="AU259" s="434" t="str">
        <f>IF((AT259)&lt;4,"RIGTH","WRONG")</f>
        <v>RIGTH</v>
      </c>
      <c r="AV259" s="435" t="str">
        <f>IF((AV258+AV257++AV256+AV255)&gt;0,"RIGTH","WRONG")</f>
        <v>RIGTH</v>
      </c>
      <c r="AW259" s="463">
        <v>-920.01499999999999</v>
      </c>
      <c r="AX259" s="452">
        <f>AS261</f>
        <v>1.3445067004422369</v>
      </c>
      <c r="AY259" s="452">
        <f>BC347</f>
        <v>137.43093708089697</v>
      </c>
      <c r="AZ259" s="449">
        <f>(AR297)</f>
        <v>138799.45558201679</v>
      </c>
      <c r="BA259" s="438">
        <f>(AR323)</f>
        <v>135901.46951140696</v>
      </c>
      <c r="BB259" s="464" t="str">
        <f>IF(BB257&gt;BB258,"short","long")</f>
        <v>long</v>
      </c>
      <c r="BC259" s="439"/>
      <c r="BD259" s="439"/>
      <c r="BE259" s="439"/>
      <c r="BF259" s="439"/>
      <c r="BG259" s="439"/>
      <c r="BH259" s="439"/>
      <c r="BI259" s="439"/>
      <c r="BJ259" s="439"/>
      <c r="BK259" s="439"/>
      <c r="BL259" s="439"/>
      <c r="BM259" s="439"/>
      <c r="BN259" s="439"/>
      <c r="BO259" s="439"/>
      <c r="BP259" s="439"/>
      <c r="BQ259" s="439"/>
      <c r="BR259" s="439"/>
      <c r="BS259" s="439"/>
      <c r="BT259" s="439"/>
      <c r="BU259" s="439"/>
      <c r="BV259" s="439"/>
      <c r="BW259" s="439"/>
      <c r="BX259" s="439"/>
      <c r="BY259" s="797"/>
      <c r="BZ259" s="797"/>
      <c r="CA259" s="797"/>
      <c r="CB259" s="797"/>
      <c r="CC259" s="797"/>
      <c r="CD259" s="797"/>
      <c r="CE259" s="797"/>
      <c r="CF259" s="797"/>
      <c r="CG259" s="797"/>
      <c r="CH259" s="797"/>
      <c r="CI259" s="797"/>
      <c r="CJ259" s="797"/>
      <c r="CK259" s="797"/>
      <c r="CL259" s="797"/>
      <c r="CM259" s="797"/>
      <c r="CN259" s="797"/>
      <c r="CO259" s="797"/>
      <c r="CP259" s="797"/>
      <c r="CQ259" s="797"/>
      <c r="CR259" s="797"/>
      <c r="CS259" s="797"/>
      <c r="CT259" s="797"/>
      <c r="CU259" s="797"/>
    </row>
    <row r="260" spans="1:99" ht="15.75" thickBot="1" x14ac:dyDescent="0.3">
      <c r="A260" s="114">
        <f>(J263*A264)</f>
        <v>172.43299999999999</v>
      </c>
      <c r="B260" s="115">
        <f>(K263*A264)</f>
        <v>172.36799999999999</v>
      </c>
      <c r="C260" s="114">
        <f>(L263*A264)</f>
        <v>172.56399999999999</v>
      </c>
      <c r="D260" s="116">
        <f>((A260+B260)/2)+((B260+C260)/2)</f>
        <v>344.86649999999997</v>
      </c>
      <c r="E260" s="116">
        <f>(A260-B260)^2</f>
        <v>4.2249999999997047E-3</v>
      </c>
      <c r="F260" s="116">
        <f>(C260-B260)^2*N262</f>
        <v>3.8415999999999201E-2</v>
      </c>
      <c r="G260" s="117">
        <f>J261</f>
        <v>344.82385899999997</v>
      </c>
      <c r="H260" s="118">
        <f>(G260/2)</f>
        <v>172.41192949999999</v>
      </c>
      <c r="I260" s="116">
        <f>(A260/B260)</f>
        <v>1.0003771001578019</v>
      </c>
      <c r="J260" s="116">
        <f>(C260/B260)</f>
        <v>1.001137102014295</v>
      </c>
      <c r="K260" s="116">
        <f>I260^0.5</f>
        <v>1.0001885323066857</v>
      </c>
      <c r="L260" s="116">
        <f>J260^0.5</f>
        <v>1.0005683894738504</v>
      </c>
      <c r="M260" s="119">
        <f>INT(K260)-E261</f>
        <v>0</v>
      </c>
      <c r="N260" s="119">
        <f>INT(L260)-E261</f>
        <v>0</v>
      </c>
      <c r="O260" s="119">
        <f>(M260+45/360)^2</f>
        <v>1.5625E-2</v>
      </c>
      <c r="P260" s="119">
        <f>(N260+45/360)^2</f>
        <v>1.5625E-2</v>
      </c>
      <c r="Q260" s="119">
        <f>(O260+P260)/3</f>
        <v>1.0416666666666666E-2</v>
      </c>
      <c r="R260" s="119">
        <f>(Q260*4)</f>
        <v>4.1666666666666664E-2</v>
      </c>
      <c r="S260" s="119">
        <f>R260/3</f>
        <v>1.3888888888888888E-2</v>
      </c>
      <c r="T260" s="120">
        <f>(G261+H260)/2</f>
        <v>172.17485644309608</v>
      </c>
      <c r="U260" s="119"/>
      <c r="V260" s="119"/>
      <c r="W260" s="119"/>
      <c r="X260" s="119"/>
      <c r="Y260" s="119"/>
      <c r="Z260" s="119"/>
      <c r="AA260" s="119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465">
        <f>(AV263*AM264)</f>
        <v>1.3725100000000001</v>
      </c>
      <c r="AN260" s="465">
        <f>(AW263*AM264)</f>
        <v>1.3722000000000001</v>
      </c>
      <c r="AO260" s="465">
        <f>(AX263*AM264)</f>
        <v>1.3739800000000002</v>
      </c>
      <c r="AP260" s="466">
        <f>((AM260+AN260)/2)+((AN260+AO260)/2)</f>
        <v>2.7454450000000001</v>
      </c>
      <c r="AQ260" s="466">
        <f>(AM260-AN260)^2</f>
        <v>9.6100000000020137E-8</v>
      </c>
      <c r="AR260" s="466">
        <f>(AO260-AN260)^2*AZ262</f>
        <v>3.1684000000004087E-6</v>
      </c>
      <c r="AS260" s="467">
        <f>AV261</f>
        <v>2.7454417355</v>
      </c>
      <c r="AT260" s="468">
        <f>(AS260/2)</f>
        <v>1.37272086775</v>
      </c>
      <c r="AU260" s="466">
        <f>(AM260/AN260)</f>
        <v>1.0002259145897099</v>
      </c>
      <c r="AV260" s="466">
        <f>(AO260/AN260)</f>
        <v>1.0012971869989797</v>
      </c>
      <c r="AW260" s="466">
        <f>AU260^0.5</f>
        <v>1.0001129509159001</v>
      </c>
      <c r="AX260" s="466">
        <f>AV260^0.5</f>
        <v>1.0006483832990387</v>
      </c>
      <c r="AY260" s="469">
        <f>INT(AW260)-AQ261</f>
        <v>0</v>
      </c>
      <c r="AZ260" s="469">
        <f>INT(AX260)-AQ261</f>
        <v>0</v>
      </c>
      <c r="BA260" s="469">
        <f>(AY260+45/360)^2</f>
        <v>1.5625E-2</v>
      </c>
      <c r="BB260" s="469">
        <f>(AZ260+45/360)^2</f>
        <v>1.5625E-2</v>
      </c>
      <c r="BC260" s="469">
        <f>(BA260+BB260)/3</f>
        <v>1.0416666666666666E-2</v>
      </c>
      <c r="BD260" s="469">
        <f>(BC260*4)</f>
        <v>4.1666666666666664E-2</v>
      </c>
      <c r="BE260" s="469">
        <f>BD260/3</f>
        <v>1.3888888888888888E-2</v>
      </c>
      <c r="BF260" s="470">
        <f>(AS261+AT260)/2</f>
        <v>1.3586137840961183</v>
      </c>
      <c r="BG260" s="469"/>
      <c r="BH260" s="469"/>
      <c r="BI260" s="469"/>
      <c r="BJ260" s="469"/>
      <c r="BK260" s="469"/>
      <c r="BL260" s="469"/>
      <c r="BM260" s="469"/>
      <c r="BN260" s="471"/>
      <c r="BO260" s="471"/>
      <c r="BP260" s="471"/>
      <c r="BQ260" s="471"/>
      <c r="BR260" s="471"/>
      <c r="BS260" s="471"/>
      <c r="BT260" s="471"/>
      <c r="BU260" s="471"/>
      <c r="BV260" s="471"/>
      <c r="BW260" s="471"/>
      <c r="BX260" s="471"/>
      <c r="BY260" s="797"/>
      <c r="BZ260" s="797"/>
      <c r="CA260" s="797"/>
      <c r="CB260" s="797"/>
      <c r="CC260" s="797"/>
      <c r="CD260" s="797"/>
      <c r="CE260" s="797"/>
      <c r="CF260" s="797"/>
      <c r="CG260" s="797"/>
      <c r="CH260" s="797"/>
      <c r="CI260" s="797"/>
      <c r="CJ260" s="797"/>
      <c r="CK260" s="797"/>
      <c r="CL260" s="797"/>
      <c r="CM260" s="797"/>
      <c r="CN260" s="797"/>
      <c r="CO260" s="797"/>
      <c r="CP260" s="797"/>
      <c r="CQ260" s="797"/>
      <c r="CR260" s="797"/>
      <c r="CS260" s="797"/>
      <c r="CT260" s="797"/>
      <c r="CU260" s="797"/>
    </row>
    <row r="261" spans="1:99" ht="15.75" thickBot="1" x14ac:dyDescent="0.3">
      <c r="A261" s="121">
        <f>A296</f>
        <v>141.08208267200516</v>
      </c>
      <c r="B261" s="119">
        <f>Q260/3</f>
        <v>3.472222222222222E-3</v>
      </c>
      <c r="C261" s="119">
        <f>B261/2</f>
        <v>1.736111111111111E-3</v>
      </c>
      <c r="D261" s="122">
        <f>C261/27</f>
        <v>6.4300411522633737E-5</v>
      </c>
      <c r="E261" s="123">
        <v>1</v>
      </c>
      <c r="F261" s="116">
        <f>(F260+E260)^0.5</f>
        <v>0.20649697334343403</v>
      </c>
      <c r="G261" s="124">
        <f>(H260)*((F261-C261-D261)^(B261-C261))</f>
        <v>171.93778338619217</v>
      </c>
      <c r="H261" s="125">
        <f>(C260+A260+G261+T260)/4</f>
        <v>172.27740995732205</v>
      </c>
      <c r="I261" s="116">
        <f>E260-F260-D260</f>
        <v>-344.90069099999999</v>
      </c>
      <c r="J261" s="116">
        <f>D260-E260-F260</f>
        <v>344.82385899999997</v>
      </c>
      <c r="K261" s="116">
        <f>F260+E260-D260</f>
        <v>-344.82385899999997</v>
      </c>
      <c r="L261" s="116">
        <f>F260+D260-E260</f>
        <v>344.90069099999994</v>
      </c>
      <c r="M261" s="126">
        <v>1</v>
      </c>
      <c r="N261" s="119"/>
      <c r="O261" s="119"/>
      <c r="P261" s="119"/>
      <c r="Q261" s="119"/>
      <c r="R261" s="119"/>
      <c r="S261" s="119"/>
      <c r="T261" s="119">
        <f>(H260+T260)/2</f>
        <v>172.29339297154803</v>
      </c>
      <c r="U261" s="119"/>
      <c r="V261" s="119"/>
      <c r="W261" s="119"/>
      <c r="X261" s="119"/>
      <c r="Y261" s="119"/>
      <c r="Z261" s="119"/>
      <c r="AA261" s="119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472">
        <f>AM296</f>
        <v>-1033.0316528057904</v>
      </c>
      <c r="AN261" s="469">
        <f>BC260/3</f>
        <v>3.472222222222222E-3</v>
      </c>
      <c r="AO261" s="469">
        <f>AN261/2</f>
        <v>1.736111111111111E-3</v>
      </c>
      <c r="AP261" s="473">
        <f>AO261/27</f>
        <v>6.4300411522633737E-5</v>
      </c>
      <c r="AQ261" s="474">
        <v>1</v>
      </c>
      <c r="AR261" s="466">
        <f>(AR260+AQ260)^0.5</f>
        <v>1.8067927385288078E-3</v>
      </c>
      <c r="AS261" s="475">
        <f>(AT260)*((AR261-AO261-AP261)^(AN261-AO261))</f>
        <v>1.3445067004422369</v>
      </c>
      <c r="AT261" s="476">
        <f>(AO260+AM260+AS261+BF260)/4</f>
        <v>1.362402621134589</v>
      </c>
      <c r="AU261" s="466">
        <f>AQ260-AR260-AP260</f>
        <v>-2.7454480723000003</v>
      </c>
      <c r="AV261" s="466">
        <f>AP260-AQ260-AR260</f>
        <v>2.7454417355</v>
      </c>
      <c r="AW261" s="466">
        <f>AR260+AQ260-AP260</f>
        <v>-2.7454417355</v>
      </c>
      <c r="AX261" s="466">
        <f>AR260+AP260-AQ260</f>
        <v>2.7454480723000003</v>
      </c>
      <c r="AY261" s="477">
        <v>1</v>
      </c>
      <c r="AZ261" s="469"/>
      <c r="BA261" s="469"/>
      <c r="BB261" s="469"/>
      <c r="BC261" s="469"/>
      <c r="BD261" s="469"/>
      <c r="BE261" s="469"/>
      <c r="BF261" s="469">
        <f>(AT260+BF260)/2</f>
        <v>1.3656673259230592</v>
      </c>
      <c r="BG261" s="469"/>
      <c r="BH261" s="469"/>
      <c r="BI261" s="469"/>
      <c r="BJ261" s="469"/>
      <c r="BK261" s="469"/>
      <c r="BL261" s="469"/>
      <c r="BM261" s="469"/>
      <c r="BN261" s="471"/>
      <c r="BO261" s="471"/>
      <c r="BP261" s="471"/>
      <c r="BQ261" s="471"/>
      <c r="BR261" s="471"/>
      <c r="BS261" s="471"/>
      <c r="BT261" s="471"/>
      <c r="BU261" s="471"/>
      <c r="BV261" s="471"/>
      <c r="BW261" s="471"/>
      <c r="BX261" s="471"/>
      <c r="BY261" s="797"/>
      <c r="BZ261" s="797"/>
      <c r="CA261" s="797"/>
      <c r="CB261" s="797"/>
      <c r="CC261" s="797"/>
      <c r="CD261" s="797"/>
      <c r="CE261" s="797"/>
      <c r="CF261" s="797"/>
      <c r="CG261" s="797"/>
      <c r="CH261" s="797"/>
      <c r="CI261" s="797"/>
      <c r="CJ261" s="797"/>
      <c r="CK261" s="797"/>
      <c r="CL261" s="797"/>
      <c r="CM261" s="797"/>
      <c r="CN261" s="797"/>
      <c r="CO261" s="797"/>
      <c r="CP261" s="797"/>
      <c r="CQ261" s="797"/>
      <c r="CR261" s="797"/>
      <c r="CS261" s="797"/>
      <c r="CT261" s="797"/>
      <c r="CU261" s="797"/>
    </row>
    <row r="262" spans="1:99" ht="15.75" thickBot="1" x14ac:dyDescent="0.3">
      <c r="A262" s="127">
        <f>(((G260+H261)/3)^0.5+D261*B262)^2</f>
        <v>172.36877803938785</v>
      </c>
      <c r="B262" s="119">
        <v>1</v>
      </c>
      <c r="C262" s="128">
        <f>ABS(A262-H261)</f>
        <v>9.1368082065798717E-2</v>
      </c>
      <c r="D262" s="128">
        <f>ABS(G261-H261)</f>
        <v>0.33962657112988381</v>
      </c>
      <c r="E262" s="128">
        <f>ABS(D262-C262)</f>
        <v>0.2482584890640851</v>
      </c>
      <c r="F262" s="129">
        <f>(H261+I262)/2</f>
        <v>88.138704978661025</v>
      </c>
      <c r="G262" s="130" t="str">
        <f>IF(H262&gt;0,"1","0")</f>
        <v>0</v>
      </c>
      <c r="H262" s="131">
        <f>(C262-D262)</f>
        <v>-0.2482584890640851</v>
      </c>
      <c r="I262" s="132">
        <f>(INT((G261/M262)^0.5)+M261*N262)^2</f>
        <v>4</v>
      </c>
      <c r="J262" s="133"/>
      <c r="K262" s="134">
        <f>(R272+S274)/2</f>
        <v>0</v>
      </c>
      <c r="L262" s="135">
        <f>((I262+H261)/2+I262)/2</f>
        <v>46.069352489330512</v>
      </c>
      <c r="M262" s="136">
        <v>100</v>
      </c>
      <c r="N262" s="137">
        <v>1</v>
      </c>
      <c r="O262" s="119"/>
      <c r="P262" s="119"/>
      <c r="Q262" s="119"/>
      <c r="R262" s="119"/>
      <c r="S262" s="119"/>
      <c r="T262" s="119"/>
      <c r="U262" s="119"/>
      <c r="V262" s="119"/>
      <c r="W262" s="119"/>
      <c r="X262" s="119"/>
      <c r="Y262" s="119"/>
      <c r="Z262" s="119"/>
      <c r="AA262" s="119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478">
        <f>(((AS260+AT261)/3)^0.5+AP261*AN262)^2</f>
        <v>1.3694319402712796</v>
      </c>
      <c r="AN262" s="469">
        <v>1</v>
      </c>
      <c r="AO262" s="479">
        <f>(AM262-AS261)</f>
        <v>2.4925239829042711E-2</v>
      </c>
      <c r="AP262" s="479">
        <f>(AT261-AS261)</f>
        <v>1.789592069235213E-2</v>
      </c>
      <c r="AQ262" s="479">
        <f>AO262-AP262</f>
        <v>7.0293191366905816E-3</v>
      </c>
      <c r="AR262" s="480">
        <f>(AT261+AU262)/2</f>
        <v>1.1812013105672945</v>
      </c>
      <c r="AS262" s="481" t="str">
        <f>IF(AQ262&gt;0,"1","0")</f>
        <v>1</v>
      </c>
      <c r="AT262" s="482">
        <f>(AO262-AP262)</f>
        <v>7.0293191366905816E-3</v>
      </c>
      <c r="AU262" s="483">
        <f>(INT((AS261/AY262)^0.5)+AY261*AZ262)^2</f>
        <v>1</v>
      </c>
      <c r="AV262" s="484"/>
      <c r="AW262" s="485">
        <f>(BD272+BE274)/2</f>
        <v>0</v>
      </c>
      <c r="AX262" s="486">
        <f>((AU262+AT261)/2+AU262)/2</f>
        <v>1.0906006552836471</v>
      </c>
      <c r="AY262" s="487">
        <v>100</v>
      </c>
      <c r="AZ262" s="488">
        <v>1</v>
      </c>
      <c r="BA262" s="469"/>
      <c r="BB262" s="469"/>
      <c r="BC262" s="469"/>
      <c r="BD262" s="469"/>
      <c r="BE262" s="469"/>
      <c r="BF262" s="469"/>
      <c r="BG262" s="469"/>
      <c r="BH262" s="469"/>
      <c r="BI262" s="469"/>
      <c r="BJ262" s="469"/>
      <c r="BK262" s="469"/>
      <c r="BL262" s="469"/>
      <c r="BM262" s="469"/>
      <c r="BN262" s="471"/>
      <c r="BO262" s="471"/>
      <c r="BP262" s="471"/>
      <c r="BQ262" s="471"/>
      <c r="BR262" s="471"/>
      <c r="BS262" s="471"/>
      <c r="BT262" s="471"/>
      <c r="BU262" s="471"/>
      <c r="BV262" s="471"/>
      <c r="BW262" s="471"/>
      <c r="BX262" s="471"/>
      <c r="BY262" s="797"/>
      <c r="BZ262" s="797"/>
      <c r="CA262" s="797"/>
      <c r="CB262" s="797"/>
      <c r="CC262" s="797"/>
      <c r="CD262" s="797"/>
      <c r="CE262" s="797"/>
      <c r="CF262" s="797"/>
      <c r="CG262" s="797"/>
      <c r="CH262" s="797"/>
      <c r="CI262" s="797"/>
      <c r="CJ262" s="797"/>
      <c r="CK262" s="797"/>
      <c r="CL262" s="797"/>
      <c r="CM262" s="797"/>
      <c r="CN262" s="797"/>
      <c r="CO262" s="797"/>
      <c r="CP262" s="797"/>
      <c r="CQ262" s="797"/>
      <c r="CR262" s="797"/>
      <c r="CS262" s="797"/>
      <c r="CT262" s="797"/>
      <c r="CU262" s="797"/>
    </row>
    <row r="263" spans="1:99" ht="15.75" thickBot="1" x14ac:dyDescent="0.3">
      <c r="A263" s="138" t="s">
        <v>10</v>
      </c>
      <c r="B263" s="139">
        <f>(G288)</f>
        <v>172280.28111672311</v>
      </c>
      <c r="C263" s="140">
        <f>(A294+A293+G289)/3</f>
        <v>172294.65280877732</v>
      </c>
      <c r="D263" s="140">
        <f>(C263+B263)/2</f>
        <v>172287.46696275022</v>
      </c>
      <c r="E263" s="141"/>
      <c r="F263" s="141"/>
      <c r="G263" s="142"/>
      <c r="H263" s="143">
        <f>(C263)</f>
        <v>172294.65280877732</v>
      </c>
      <c r="I263" s="144">
        <f>(H263+H261)/2</f>
        <v>86233.465109367316</v>
      </c>
      <c r="J263" s="145">
        <f>D255</f>
        <v>172433</v>
      </c>
      <c r="K263" s="146">
        <f>D256</f>
        <v>172368</v>
      </c>
      <c r="L263" s="147">
        <f>D257</f>
        <v>172564</v>
      </c>
      <c r="M263" s="148"/>
      <c r="N263" s="149"/>
      <c r="O263" s="149"/>
      <c r="P263" s="149"/>
      <c r="Q263" s="149"/>
      <c r="R263" s="150"/>
      <c r="S263" s="151"/>
      <c r="T263" s="152"/>
      <c r="U263" s="153"/>
      <c r="V263" s="154"/>
      <c r="W263" s="154"/>
      <c r="X263" s="154"/>
      <c r="Y263" s="149"/>
      <c r="Z263" s="149"/>
      <c r="AA263" s="149"/>
      <c r="AB263" s="149"/>
      <c r="AC263" s="149"/>
      <c r="AD263" s="149"/>
      <c r="AE263" s="149"/>
      <c r="AF263" s="149"/>
      <c r="AG263" s="149"/>
      <c r="AH263" s="149"/>
      <c r="AI263" s="149"/>
      <c r="AJ263" s="149"/>
      <c r="AK263" s="150"/>
      <c r="AL263" s="151"/>
      <c r="AM263" s="489" t="s">
        <v>10</v>
      </c>
      <c r="AN263" s="490">
        <f>(AS288)</f>
        <v>137474.31257337576</v>
      </c>
      <c r="AO263" s="491">
        <f>(AM294+AM293+AS289)/3</f>
        <v>138085.27175139598</v>
      </c>
      <c r="AP263" s="491">
        <f>(AO263+AN263)/2</f>
        <v>137779.79216238589</v>
      </c>
      <c r="AQ263" s="492"/>
      <c r="AR263" s="492"/>
      <c r="AS263" s="493"/>
      <c r="AT263" s="494">
        <f>(AO263)</f>
        <v>138085.27175139598</v>
      </c>
      <c r="AU263" s="495">
        <f>(AT263+AT261)/2</f>
        <v>69043.317077008556</v>
      </c>
      <c r="AV263" s="496">
        <f>AP255</f>
        <v>137251</v>
      </c>
      <c r="AW263" s="497">
        <f>AP256</f>
        <v>137220</v>
      </c>
      <c r="AX263" s="498">
        <f>AP257</f>
        <v>137398</v>
      </c>
      <c r="AY263" s="499"/>
      <c r="AZ263" s="500"/>
      <c r="BA263" s="500"/>
      <c r="BB263" s="500"/>
      <c r="BC263" s="500"/>
      <c r="BD263" s="501"/>
      <c r="BE263" s="502"/>
      <c r="BF263" s="503"/>
      <c r="BG263" s="504"/>
      <c r="BH263" s="505"/>
      <c r="BI263" s="505"/>
      <c r="BJ263" s="505"/>
      <c r="BK263" s="500"/>
      <c r="BL263" s="500"/>
      <c r="BM263" s="500"/>
      <c r="BN263" s="500"/>
      <c r="BO263" s="500"/>
      <c r="BP263" s="500"/>
      <c r="BQ263" s="500"/>
      <c r="BR263" s="500"/>
      <c r="BS263" s="500"/>
      <c r="BT263" s="500"/>
      <c r="BU263" s="500"/>
      <c r="BV263" s="500"/>
      <c r="BW263" s="501"/>
      <c r="BX263" s="502"/>
      <c r="BY263" s="797"/>
      <c r="BZ263" s="797"/>
      <c r="CA263" s="797"/>
      <c r="CB263" s="797"/>
      <c r="CC263" s="797"/>
      <c r="CD263" s="797"/>
      <c r="CE263" s="797"/>
      <c r="CF263" s="797"/>
      <c r="CG263" s="797"/>
      <c r="CH263" s="797"/>
      <c r="CI263" s="797"/>
      <c r="CJ263" s="797"/>
      <c r="CK263" s="797"/>
      <c r="CL263" s="797"/>
      <c r="CM263" s="797"/>
      <c r="CN263" s="797"/>
      <c r="CO263" s="797"/>
      <c r="CP263" s="797"/>
      <c r="CQ263" s="797"/>
      <c r="CR263" s="797"/>
      <c r="CS263" s="797"/>
      <c r="CT263" s="797"/>
      <c r="CU263" s="797"/>
    </row>
    <row r="264" spans="1:99" x14ac:dyDescent="0.25">
      <c r="A264" s="155">
        <v>1E-3</v>
      </c>
      <c r="B264" s="156"/>
      <c r="C264" s="157"/>
      <c r="D264" s="138"/>
      <c r="E264" s="138"/>
      <c r="F264" s="138"/>
      <c r="G264" s="158" t="str">
        <f>IF(H262&gt;0,"LONG","SHORT")</f>
        <v>SHORT</v>
      </c>
      <c r="H264" s="159">
        <f>ABS(H262*1000)</f>
        <v>248.2584890640851</v>
      </c>
      <c r="I264" s="142"/>
      <c r="J264" s="160"/>
      <c r="K264" s="160"/>
      <c r="L264" s="160"/>
      <c r="M264" s="160"/>
      <c r="N264" s="161"/>
      <c r="O264" s="161"/>
      <c r="P264" s="161"/>
      <c r="Q264" s="162"/>
      <c r="R264" s="150"/>
      <c r="S264" s="151"/>
      <c r="T264" s="163"/>
      <c r="U264" s="153"/>
      <c r="V264" s="164"/>
      <c r="W264" s="154"/>
      <c r="X264" s="163"/>
      <c r="Y264" s="165"/>
      <c r="Z264" s="161"/>
      <c r="AA264" s="152"/>
      <c r="AB264" s="161"/>
      <c r="AC264" s="161"/>
      <c r="AD264" s="161"/>
      <c r="AE264" s="161"/>
      <c r="AF264" s="161"/>
      <c r="AG264" s="161"/>
      <c r="AH264" s="161"/>
      <c r="AI264" s="161"/>
      <c r="AJ264" s="162"/>
      <c r="AK264" s="150"/>
      <c r="AL264" s="151"/>
      <c r="AM264" s="506">
        <f>W27</f>
        <v>1.0000000000000001E-5</v>
      </c>
      <c r="AN264" s="507"/>
      <c r="AO264" s="508"/>
      <c r="AP264" s="489"/>
      <c r="AQ264" s="489"/>
      <c r="AR264" s="489"/>
      <c r="AS264" s="509" t="str">
        <f>IF(AT262&gt;0,"LONG","SHORT")</f>
        <v>LONG</v>
      </c>
      <c r="AT264" s="510">
        <f>ABS(AT262*1000)</f>
        <v>7.0293191366905816</v>
      </c>
      <c r="AU264" s="493"/>
      <c r="AV264" s="511"/>
      <c r="AW264" s="511"/>
      <c r="AX264" s="511"/>
      <c r="AY264" s="511"/>
      <c r="AZ264" s="512"/>
      <c r="BA264" s="512"/>
      <c r="BB264" s="512"/>
      <c r="BC264" s="513"/>
      <c r="BD264" s="501"/>
      <c r="BE264" s="502"/>
      <c r="BF264" s="514"/>
      <c r="BG264" s="504"/>
      <c r="BH264" s="515"/>
      <c r="BI264" s="505"/>
      <c r="BJ264" s="514"/>
      <c r="BK264" s="516"/>
      <c r="BL264" s="512"/>
      <c r="BM264" s="503"/>
      <c r="BN264" s="512"/>
      <c r="BO264" s="512"/>
      <c r="BP264" s="512"/>
      <c r="BQ264" s="512"/>
      <c r="BR264" s="512"/>
      <c r="BS264" s="512"/>
      <c r="BT264" s="512"/>
      <c r="BU264" s="512"/>
      <c r="BV264" s="513"/>
      <c r="BW264" s="501"/>
      <c r="BX264" s="502"/>
      <c r="BY264" s="797"/>
      <c r="BZ264" s="797"/>
      <c r="CA264" s="797"/>
      <c r="CB264" s="797"/>
      <c r="CC264" s="797"/>
      <c r="CD264" s="797"/>
      <c r="CE264" s="797"/>
      <c r="CF264" s="797"/>
      <c r="CG264" s="797"/>
      <c r="CH264" s="797"/>
      <c r="CI264" s="797"/>
      <c r="CJ264" s="797"/>
      <c r="CK264" s="797"/>
      <c r="CL264" s="797"/>
      <c r="CM264" s="797"/>
      <c r="CN264" s="797"/>
      <c r="CO264" s="797"/>
      <c r="CP264" s="797"/>
      <c r="CQ264" s="797"/>
      <c r="CR264" s="797"/>
      <c r="CS264" s="797"/>
      <c r="CT264" s="797"/>
      <c r="CU264" s="797"/>
    </row>
    <row r="265" spans="1:99" x14ac:dyDescent="0.25">
      <c r="A265" s="166"/>
      <c r="B265" s="167"/>
      <c r="C265" s="168"/>
      <c r="D265" s="168"/>
      <c r="E265" s="168"/>
      <c r="F265" s="168"/>
      <c r="G265" s="169"/>
      <c r="H265" s="170"/>
      <c r="I265" s="160"/>
      <c r="J265" s="160"/>
      <c r="K265" s="160"/>
      <c r="L265" s="160"/>
      <c r="M265" s="160"/>
      <c r="N265" s="161"/>
      <c r="O265" s="161"/>
      <c r="P265" s="161"/>
      <c r="Q265" s="149"/>
      <c r="R265" s="171"/>
      <c r="S265" s="151"/>
      <c r="T265" s="163"/>
      <c r="U265" s="172"/>
      <c r="V265" s="154"/>
      <c r="W265" s="154"/>
      <c r="X265" s="173"/>
      <c r="Y265" s="174"/>
      <c r="Z265" s="161"/>
      <c r="AA265" s="161"/>
      <c r="AB265" s="161"/>
      <c r="AC265" s="161"/>
      <c r="AD265" s="161"/>
      <c r="AE265" s="161"/>
      <c r="AF265" s="161"/>
      <c r="AG265" s="161"/>
      <c r="AH265" s="161"/>
      <c r="AI265" s="161"/>
      <c r="AJ265" s="149"/>
      <c r="AK265" s="171"/>
      <c r="AL265" s="151"/>
      <c r="AM265" s="517"/>
      <c r="AN265" s="518"/>
      <c r="AO265" s="519"/>
      <c r="AP265" s="519"/>
      <c r="AQ265" s="519"/>
      <c r="AR265" s="519"/>
      <c r="AS265" s="520"/>
      <c r="AT265" s="521"/>
      <c r="AU265" s="511"/>
      <c r="AV265" s="511"/>
      <c r="AW265" s="511"/>
      <c r="AX265" s="511"/>
      <c r="AY265" s="511"/>
      <c r="AZ265" s="512"/>
      <c r="BA265" s="512"/>
      <c r="BB265" s="512"/>
      <c r="BC265" s="500"/>
      <c r="BD265" s="502"/>
      <c r="BE265" s="502"/>
      <c r="BF265" s="514"/>
      <c r="BG265" s="522"/>
      <c r="BH265" s="505"/>
      <c r="BI265" s="505"/>
      <c r="BJ265" s="523"/>
      <c r="BK265" s="524"/>
      <c r="BL265" s="512"/>
      <c r="BM265" s="512"/>
      <c r="BN265" s="512"/>
      <c r="BO265" s="512"/>
      <c r="BP265" s="512"/>
      <c r="BQ265" s="512"/>
      <c r="BR265" s="512"/>
      <c r="BS265" s="512"/>
      <c r="BT265" s="512"/>
      <c r="BU265" s="512"/>
      <c r="BV265" s="500"/>
      <c r="BW265" s="502"/>
      <c r="BX265" s="502"/>
      <c r="BY265" s="797"/>
      <c r="BZ265" s="797"/>
      <c r="CA265" s="797"/>
      <c r="CB265" s="797"/>
      <c r="CC265" s="797"/>
      <c r="CD265" s="797"/>
      <c r="CE265" s="797"/>
      <c r="CF265" s="797"/>
      <c r="CG265" s="797"/>
      <c r="CH265" s="797"/>
      <c r="CI265" s="797"/>
      <c r="CJ265" s="797"/>
      <c r="CK265" s="797"/>
      <c r="CL265" s="797"/>
      <c r="CM265" s="797"/>
      <c r="CN265" s="797"/>
      <c r="CO265" s="797"/>
      <c r="CP265" s="797"/>
      <c r="CQ265" s="797"/>
      <c r="CR265" s="797"/>
      <c r="CS265" s="797"/>
      <c r="CT265" s="797"/>
      <c r="CU265" s="797"/>
    </row>
    <row r="266" spans="1:99" ht="15.75" thickBot="1" x14ac:dyDescent="0.3">
      <c r="A266" s="175">
        <f>J269*A271</f>
        <v>172.69300000000001</v>
      </c>
      <c r="B266" s="176">
        <f>(K269)*A271</f>
        <v>171.62200000000001</v>
      </c>
      <c r="C266" s="175">
        <f>(L269)*A271</f>
        <v>172.40100000000001</v>
      </c>
      <c r="D266" s="116">
        <f>((A266+B266)/2)+((B266+C266)/2)</f>
        <v>344.16900000000004</v>
      </c>
      <c r="E266" s="116">
        <f>(A266-B266)^2</f>
        <v>1.1470409999999955</v>
      </c>
      <c r="F266" s="116">
        <f>(C266-B266)^2*N268</f>
        <v>0.6068409999999943</v>
      </c>
      <c r="G266" s="177">
        <f>J267</f>
        <v>342.41511800000006</v>
      </c>
      <c r="H266" s="178">
        <f>(G266/2)</f>
        <v>171.20755900000003</v>
      </c>
      <c r="I266" s="116">
        <f>(A266/B266)</f>
        <v>1.0062404586824534</v>
      </c>
      <c r="J266" s="116">
        <f>(C266/B266)</f>
        <v>1.0045390451107667</v>
      </c>
      <c r="K266" s="116">
        <f>I266^0.5</f>
        <v>1.0031153765556848</v>
      </c>
      <c r="L266" s="116">
        <f>J266^0.5</f>
        <v>1.0022669530173918</v>
      </c>
      <c r="M266" s="119">
        <f>INT(K266)-E267</f>
        <v>0</v>
      </c>
      <c r="N266" s="119">
        <f>INT(L266)-E267</f>
        <v>0</v>
      </c>
      <c r="O266" s="119">
        <f>(M266+45/360)^2</f>
        <v>1.5625E-2</v>
      </c>
      <c r="P266" s="119">
        <f>(N266+45/360)^2</f>
        <v>1.5625E-2</v>
      </c>
      <c r="Q266" s="119">
        <f>(O266+P266)/3</f>
        <v>1.0416666666666666E-2</v>
      </c>
      <c r="R266" s="119">
        <f>(Q266*4)</f>
        <v>4.1666666666666664E-2</v>
      </c>
      <c r="S266" s="119">
        <f>R266/3</f>
        <v>1.3888888888888888E-2</v>
      </c>
      <c r="T266" s="120">
        <f>(G267+H266)/2</f>
        <v>171.2491159578388</v>
      </c>
      <c r="U266" s="153"/>
      <c r="V266" s="154"/>
      <c r="W266" s="154"/>
      <c r="X266" s="163"/>
      <c r="Y266" s="174"/>
      <c r="Z266" s="161"/>
      <c r="AA266" s="152"/>
      <c r="AB266" s="161"/>
      <c r="AC266" s="161"/>
      <c r="AD266" s="161"/>
      <c r="AE266" s="161"/>
      <c r="AF266" s="161"/>
      <c r="AG266" s="161"/>
      <c r="AH266" s="161"/>
      <c r="AI266" s="152"/>
      <c r="AJ266" s="162"/>
      <c r="AK266" s="150"/>
      <c r="AL266" s="151"/>
      <c r="AM266" s="525">
        <f>AV269*AM271</f>
        <v>137.69900000000001</v>
      </c>
      <c r="AN266" s="526">
        <f>(AW269)*AM271</f>
        <v>137.34399999999999</v>
      </c>
      <c r="AO266" s="525">
        <f>(AX269)*AM271</f>
        <v>137.97399999999999</v>
      </c>
      <c r="AP266" s="466">
        <f>((AM266+AN266)/2)+((AN266+AO266)/2)</f>
        <v>275.18049999999999</v>
      </c>
      <c r="AQ266" s="466">
        <f>(AM266-AN266)^2</f>
        <v>0.1260250000000129</v>
      </c>
      <c r="AR266" s="466">
        <f>(AO266-AN266)^2*AZ268</f>
        <v>0.39689999999999426</v>
      </c>
      <c r="AS266" s="527">
        <f>AV267</f>
        <v>274.65757499999995</v>
      </c>
      <c r="AT266" s="528">
        <f>(AS266/2)</f>
        <v>137.32878749999998</v>
      </c>
      <c r="AU266" s="466">
        <f>(AM266/AN266)</f>
        <v>1.0025847506989749</v>
      </c>
      <c r="AV266" s="466">
        <f>(AO266/AN266)</f>
        <v>1.0045870223671947</v>
      </c>
      <c r="AW266" s="466">
        <f>AU266^0.5</f>
        <v>1.0012915413100096</v>
      </c>
      <c r="AX266" s="466">
        <f>AV266^0.5</f>
        <v>1.0022908871017409</v>
      </c>
      <c r="AY266" s="469">
        <f>INT(AW266)-AQ267</f>
        <v>0</v>
      </c>
      <c r="AZ266" s="469">
        <f>INT(AX266)-AQ267</f>
        <v>0</v>
      </c>
      <c r="BA266" s="469">
        <f>(AY266+45/360)^2</f>
        <v>1.5625E-2</v>
      </c>
      <c r="BB266" s="469">
        <f>(AZ266+45/360)^2</f>
        <v>1.5625E-2</v>
      </c>
      <c r="BC266" s="469">
        <f>(BA266+BB266)/3</f>
        <v>1.0416666666666666E-2</v>
      </c>
      <c r="BD266" s="469">
        <f>(BC266*4)</f>
        <v>4.1666666666666664E-2</v>
      </c>
      <c r="BE266" s="469">
        <f>BD266/3</f>
        <v>1.3888888888888888E-2</v>
      </c>
      <c r="BF266" s="470">
        <f>(AS267+AT266)/2</f>
        <v>137.28985874137695</v>
      </c>
      <c r="BG266" s="504"/>
      <c r="BH266" s="505"/>
      <c r="BI266" s="505"/>
      <c r="BJ266" s="514"/>
      <c r="BK266" s="524"/>
      <c r="BL266" s="512"/>
      <c r="BM266" s="503"/>
      <c r="BN266" s="512"/>
      <c r="BO266" s="512"/>
      <c r="BP266" s="512"/>
      <c r="BQ266" s="512"/>
      <c r="BR266" s="512"/>
      <c r="BS266" s="512"/>
      <c r="BT266" s="512"/>
      <c r="BU266" s="503"/>
      <c r="BV266" s="513"/>
      <c r="BW266" s="501"/>
      <c r="BX266" s="502"/>
      <c r="BY266" s="797"/>
      <c r="BZ266" s="797"/>
      <c r="CA266" s="797"/>
      <c r="CB266" s="797"/>
      <c r="CC266" s="797"/>
      <c r="CD266" s="797"/>
      <c r="CE266" s="797"/>
      <c r="CF266" s="797"/>
      <c r="CG266" s="797"/>
      <c r="CH266" s="797"/>
      <c r="CI266" s="797"/>
      <c r="CJ266" s="797"/>
      <c r="CK266" s="797"/>
      <c r="CL266" s="797"/>
      <c r="CM266" s="797"/>
      <c r="CN266" s="797"/>
      <c r="CO266" s="797"/>
      <c r="CP266" s="797"/>
      <c r="CQ266" s="797"/>
      <c r="CR266" s="797"/>
      <c r="CS266" s="797"/>
      <c r="CT266" s="797"/>
      <c r="CU266" s="797"/>
    </row>
    <row r="267" spans="1:99" ht="15.75" thickBot="1" x14ac:dyDescent="0.3">
      <c r="A267" s="11" t="s">
        <v>46</v>
      </c>
      <c r="B267" s="119">
        <f>Q266/3</f>
        <v>3.472222222222222E-3</v>
      </c>
      <c r="C267" s="119">
        <f>B267/2</f>
        <v>1.736111111111111E-3</v>
      </c>
      <c r="D267" s="122">
        <f>C267/27</f>
        <v>6.4300411522633737E-5</v>
      </c>
      <c r="E267" s="123">
        <v>1</v>
      </c>
      <c r="F267" s="116">
        <f>(F266+E266)^0.5</f>
        <v>1.3243421008183609</v>
      </c>
      <c r="G267" s="179">
        <f>(H266)*((F267-C267-D267)^(B267-C267))</f>
        <v>171.29067291567759</v>
      </c>
      <c r="H267" s="125">
        <f>(C266+A266+G267+T266)/4</f>
        <v>171.90844721837908</v>
      </c>
      <c r="I267" s="116">
        <f>E266-F266-D266</f>
        <v>-343.62880000000001</v>
      </c>
      <c r="J267" s="116">
        <f>D266-E266-F266</f>
        <v>342.41511800000006</v>
      </c>
      <c r="K267" s="116">
        <f>F266+E266-D266</f>
        <v>-342.41511800000006</v>
      </c>
      <c r="L267" s="116">
        <f>F266+D266-E266</f>
        <v>343.62880000000001</v>
      </c>
      <c r="M267" s="126">
        <v>1</v>
      </c>
      <c r="N267" s="119"/>
      <c r="O267" s="119"/>
      <c r="P267" s="119"/>
      <c r="Q267" s="119"/>
      <c r="R267" s="119"/>
      <c r="S267" s="119"/>
      <c r="T267" s="119">
        <f>(H266+T266)/2</f>
        <v>171.2283374789194</v>
      </c>
      <c r="U267" s="180"/>
      <c r="V267" s="163"/>
      <c r="W267" s="154"/>
      <c r="X267" s="154"/>
      <c r="Y267" s="161"/>
      <c r="Z267" s="161"/>
      <c r="AA267" s="161"/>
      <c r="AB267" s="161"/>
      <c r="AC267" s="161"/>
      <c r="AD267" s="161"/>
      <c r="AE267" s="161"/>
      <c r="AF267" s="161"/>
      <c r="AG267" s="162"/>
      <c r="AH267" s="152"/>
      <c r="AI267" s="152"/>
      <c r="AJ267" s="162"/>
      <c r="AK267" s="171"/>
      <c r="AL267" s="151"/>
      <c r="AM267" s="529" t="s">
        <v>46</v>
      </c>
      <c r="AN267" s="469">
        <f>BC266/3</f>
        <v>3.472222222222222E-3</v>
      </c>
      <c r="AO267" s="469">
        <f>AN267/2</f>
        <v>1.736111111111111E-3</v>
      </c>
      <c r="AP267" s="473">
        <f>AO267/27</f>
        <v>6.4300411522633737E-5</v>
      </c>
      <c r="AQ267" s="474">
        <v>1</v>
      </c>
      <c r="AR267" s="466">
        <f>(AR266+AQ266)^0.5</f>
        <v>0.72313553363114935</v>
      </c>
      <c r="AS267" s="530">
        <f>(AT266)*((AR267-AO267-AP267)^(AN267-AO267))</f>
        <v>137.25092998275392</v>
      </c>
      <c r="AT267" s="476">
        <f>(AO266+AM266+AS267+BF266)/4</f>
        <v>137.55344718103271</v>
      </c>
      <c r="AU267" s="466">
        <f>AQ266-AR266-AP266</f>
        <v>-275.45137499999998</v>
      </c>
      <c r="AV267" s="466">
        <f>AP266-AQ266-AR266</f>
        <v>274.65757499999995</v>
      </c>
      <c r="AW267" s="466">
        <f>AR266+AQ266-AP266</f>
        <v>-274.65757500000001</v>
      </c>
      <c r="AX267" s="466">
        <f>AR266+AP266-AQ266</f>
        <v>275.45137499999998</v>
      </c>
      <c r="AY267" s="477">
        <v>1</v>
      </c>
      <c r="AZ267" s="469"/>
      <c r="BA267" s="469"/>
      <c r="BB267" s="469"/>
      <c r="BC267" s="469"/>
      <c r="BD267" s="469"/>
      <c r="BE267" s="469"/>
      <c r="BF267" s="469">
        <f>(AT266+BF266)/2</f>
        <v>137.30932312068848</v>
      </c>
      <c r="BG267" s="531"/>
      <c r="BH267" s="514"/>
      <c r="BI267" s="505"/>
      <c r="BJ267" s="505"/>
      <c r="BK267" s="512"/>
      <c r="BL267" s="512"/>
      <c r="BM267" s="512"/>
      <c r="BN267" s="512"/>
      <c r="BO267" s="512"/>
      <c r="BP267" s="512"/>
      <c r="BQ267" s="512"/>
      <c r="BR267" s="512"/>
      <c r="BS267" s="513"/>
      <c r="BT267" s="503"/>
      <c r="BU267" s="503"/>
      <c r="BV267" s="513"/>
      <c r="BW267" s="502"/>
      <c r="BX267" s="502"/>
      <c r="BY267" s="797"/>
      <c r="BZ267" s="797"/>
      <c r="CA267" s="797"/>
      <c r="CB267" s="797"/>
      <c r="CC267" s="797"/>
      <c r="CD267" s="797"/>
      <c r="CE267" s="797"/>
      <c r="CF267" s="797"/>
      <c r="CG267" s="797"/>
      <c r="CH267" s="797"/>
      <c r="CI267" s="797"/>
      <c r="CJ267" s="797"/>
      <c r="CK267" s="797"/>
      <c r="CL267" s="797"/>
      <c r="CM267" s="797"/>
      <c r="CN267" s="797"/>
      <c r="CO267" s="797"/>
      <c r="CP267" s="797"/>
      <c r="CQ267" s="797"/>
      <c r="CR267" s="797"/>
      <c r="CS267" s="797"/>
      <c r="CT267" s="797"/>
      <c r="CU267" s="797"/>
    </row>
    <row r="268" spans="1:99" ht="15.75" thickBot="1" x14ac:dyDescent="0.3">
      <c r="A268" s="127">
        <f>(((G266+H267)/3)^0.5+D267*B268)^2</f>
        <v>171.44287225223934</v>
      </c>
      <c r="B268" s="119">
        <v>1</v>
      </c>
      <c r="C268" s="181">
        <f>ABS(A268-H267)</f>
        <v>0.46557496613974081</v>
      </c>
      <c r="D268" s="181">
        <f>ABS(G267-H267)</f>
        <v>0.61777430270149125</v>
      </c>
      <c r="E268" s="181">
        <f>ABS(D268-C268)</f>
        <v>0.15219933656175044</v>
      </c>
      <c r="F268" s="129">
        <f>(H267+I268)/2</f>
        <v>86.45422360918954</v>
      </c>
      <c r="G268" s="130" t="str">
        <f>IF(H268&gt;0,"1","0")</f>
        <v>0</v>
      </c>
      <c r="H268" s="131">
        <f>(C268-D268)</f>
        <v>-0.15219933656175044</v>
      </c>
      <c r="I268" s="132">
        <f>(INT((G267/M268)^0.5)+M267*N268)^2</f>
        <v>1</v>
      </c>
      <c r="J268" s="133"/>
      <c r="K268" s="134">
        <f>(R278+S280)/2</f>
        <v>0</v>
      </c>
      <c r="L268" s="135">
        <f>((I268+H267)/2+I268)/2</f>
        <v>43.72711180459477</v>
      </c>
      <c r="M268" s="182">
        <v>10000</v>
      </c>
      <c r="N268" s="137">
        <v>1</v>
      </c>
      <c r="O268" s="119"/>
      <c r="P268" s="119"/>
      <c r="Q268" s="119"/>
      <c r="R268" s="119"/>
      <c r="S268" s="119"/>
      <c r="T268" s="119"/>
      <c r="U268" s="154"/>
      <c r="V268" s="154"/>
      <c r="W268" s="154"/>
      <c r="X268" s="154"/>
      <c r="Y268" s="161"/>
      <c r="Z268" s="161"/>
      <c r="AA268" s="161"/>
      <c r="AB268" s="161"/>
      <c r="AC268" s="161"/>
      <c r="AD268" s="161"/>
      <c r="AE268" s="161"/>
      <c r="AF268" s="161"/>
      <c r="AG268" s="161"/>
      <c r="AH268" s="152"/>
      <c r="AI268" s="152"/>
      <c r="AJ268" s="183"/>
      <c r="AK268" s="184"/>
      <c r="AL268" s="151"/>
      <c r="AM268" s="478">
        <f>(((AS266+AT267)/3)^0.5+AP267*AN268)^2</f>
        <v>137.40518151449524</v>
      </c>
      <c r="AN268" s="469">
        <v>1</v>
      </c>
      <c r="AO268" s="532">
        <f>ABS(AM268-AT267)</f>
        <v>0.14826566653746909</v>
      </c>
      <c r="AP268" s="532">
        <f>ABS(AS267-AT267)</f>
        <v>0.30251719827879242</v>
      </c>
      <c r="AQ268" s="532">
        <f>ABS(AP268-AO268)</f>
        <v>0.15425153174132333</v>
      </c>
      <c r="AR268" s="480">
        <f>(AT267+AU268)/2</f>
        <v>69.276723590516355</v>
      </c>
      <c r="AS268" s="481" t="str">
        <f>IF(AT268&gt;0,"1","0")</f>
        <v>0</v>
      </c>
      <c r="AT268" s="482">
        <f>(AO268-AP268)</f>
        <v>-0.15425153174132333</v>
      </c>
      <c r="AU268" s="483">
        <f>(INT((AS267/AY268)^0.5)+AY267*AZ268)^2</f>
        <v>1</v>
      </c>
      <c r="AV268" s="484"/>
      <c r="AW268" s="485">
        <f>(BD278+BE280)/2</f>
        <v>0</v>
      </c>
      <c r="AX268" s="486">
        <f>((AU268+AT267)/2+AU268)/2</f>
        <v>35.138361795258177</v>
      </c>
      <c r="AY268" s="533">
        <v>10000</v>
      </c>
      <c r="AZ268" s="488">
        <v>1</v>
      </c>
      <c r="BA268" s="469"/>
      <c r="BB268" s="469"/>
      <c r="BC268" s="469"/>
      <c r="BD268" s="469"/>
      <c r="BE268" s="469"/>
      <c r="BF268" s="469"/>
      <c r="BG268" s="505"/>
      <c r="BH268" s="505"/>
      <c r="BI268" s="505"/>
      <c r="BJ268" s="505"/>
      <c r="BK268" s="512"/>
      <c r="BL268" s="512"/>
      <c r="BM268" s="512"/>
      <c r="BN268" s="512"/>
      <c r="BO268" s="512"/>
      <c r="BP268" s="512"/>
      <c r="BQ268" s="512"/>
      <c r="BR268" s="512"/>
      <c r="BS268" s="512"/>
      <c r="BT268" s="503"/>
      <c r="BU268" s="503"/>
      <c r="BV268" s="534"/>
      <c r="BW268" s="535"/>
      <c r="BX268" s="502"/>
      <c r="BY268" s="797"/>
      <c r="BZ268" s="797"/>
      <c r="CA268" s="797"/>
      <c r="CB268" s="797"/>
      <c r="CC268" s="797"/>
      <c r="CD268" s="797"/>
      <c r="CE268" s="797"/>
      <c r="CF268" s="797"/>
      <c r="CG268" s="797"/>
      <c r="CH268" s="797"/>
      <c r="CI268" s="797"/>
      <c r="CJ268" s="797"/>
      <c r="CK268" s="797"/>
      <c r="CL268" s="797"/>
      <c r="CM268" s="797"/>
      <c r="CN268" s="797"/>
      <c r="CO268" s="797"/>
      <c r="CP268" s="797"/>
      <c r="CQ268" s="797"/>
      <c r="CR268" s="797"/>
      <c r="CS268" s="797"/>
      <c r="CT268" s="797"/>
      <c r="CU268" s="797"/>
    </row>
    <row r="269" spans="1:99" ht="15.75" thickBot="1" x14ac:dyDescent="0.3">
      <c r="A269" s="185" t="s">
        <v>47</v>
      </c>
      <c r="B269" s="186"/>
      <c r="C269" s="142"/>
      <c r="D269" s="142"/>
      <c r="E269" s="142"/>
      <c r="F269" s="142"/>
      <c r="G269" s="142"/>
      <c r="H269" s="187">
        <f>(G269+F269)/2</f>
        <v>0</v>
      </c>
      <c r="I269" s="187">
        <f>(G269+H269)/2</f>
        <v>0</v>
      </c>
      <c r="J269" s="188">
        <f>C285</f>
        <v>172693</v>
      </c>
      <c r="K269" s="189">
        <f>J297</f>
        <v>171622</v>
      </c>
      <c r="L269" s="190">
        <f>I298</f>
        <v>172401</v>
      </c>
      <c r="M269" s="148"/>
      <c r="N269" s="149"/>
      <c r="O269" s="149"/>
      <c r="P269" s="149"/>
      <c r="Q269" s="149"/>
      <c r="R269" s="150"/>
      <c r="S269" s="151"/>
      <c r="T269" s="152"/>
      <c r="U269" s="163"/>
      <c r="V269" s="163"/>
      <c r="W269" s="163"/>
      <c r="X269" s="163"/>
      <c r="Y269" s="152"/>
      <c r="Z269" s="152"/>
      <c r="AA269" s="161"/>
      <c r="AB269" s="161"/>
      <c r="AC269" s="161"/>
      <c r="AD269" s="161"/>
      <c r="AE269" s="161"/>
      <c r="AF269" s="161"/>
      <c r="AG269" s="161"/>
      <c r="AH269" s="161"/>
      <c r="AI269" s="152"/>
      <c r="AJ269" s="191"/>
      <c r="AK269" s="192"/>
      <c r="AL269" s="151"/>
      <c r="AM269" s="536" t="s">
        <v>47</v>
      </c>
      <c r="AN269" s="537"/>
      <c r="AO269" s="493"/>
      <c r="AP269" s="493"/>
      <c r="AQ269" s="493"/>
      <c r="AR269" s="493"/>
      <c r="AS269" s="493"/>
      <c r="AT269" s="538">
        <f>(AS269+AR269)/2</f>
        <v>0</v>
      </c>
      <c r="AU269" s="538">
        <f>(AS269+AT269)/2</f>
        <v>0</v>
      </c>
      <c r="AV269" s="539">
        <f>AO285</f>
        <v>137699</v>
      </c>
      <c r="AW269" s="540">
        <f>AV297</f>
        <v>137344</v>
      </c>
      <c r="AX269" s="541">
        <f>AU298</f>
        <v>137974</v>
      </c>
      <c r="AY269" s="499"/>
      <c r="AZ269" s="500"/>
      <c r="BA269" s="500"/>
      <c r="BB269" s="500"/>
      <c r="BC269" s="500"/>
      <c r="BD269" s="501"/>
      <c r="BE269" s="502"/>
      <c r="BF269" s="503"/>
      <c r="BG269" s="514"/>
      <c r="BH269" s="514"/>
      <c r="BI269" s="514"/>
      <c r="BJ269" s="514"/>
      <c r="BK269" s="503"/>
      <c r="BL269" s="503"/>
      <c r="BM269" s="512"/>
      <c r="BN269" s="512"/>
      <c r="BO269" s="512"/>
      <c r="BP269" s="512"/>
      <c r="BQ269" s="512"/>
      <c r="BR269" s="512"/>
      <c r="BS269" s="512"/>
      <c r="BT269" s="512"/>
      <c r="BU269" s="503"/>
      <c r="BV269" s="542"/>
      <c r="BW269" s="543"/>
      <c r="BX269" s="502"/>
      <c r="BY269" s="797"/>
      <c r="BZ269" s="797"/>
      <c r="CA269" s="797"/>
      <c r="CB269" s="797"/>
      <c r="CC269" s="797"/>
      <c r="CD269" s="797"/>
      <c r="CE269" s="797"/>
      <c r="CF269" s="797"/>
      <c r="CG269" s="797"/>
      <c r="CH269" s="797"/>
      <c r="CI269" s="797"/>
      <c r="CJ269" s="797"/>
      <c r="CK269" s="797"/>
      <c r="CL269" s="797"/>
      <c r="CM269" s="797"/>
      <c r="CN269" s="797"/>
      <c r="CO269" s="797"/>
      <c r="CP269" s="797"/>
      <c r="CQ269" s="797"/>
      <c r="CR269" s="797"/>
      <c r="CS269" s="797"/>
      <c r="CT269" s="797"/>
      <c r="CU269" s="797"/>
    </row>
    <row r="270" spans="1:99" x14ac:dyDescent="0.25">
      <c r="A270" s="193"/>
      <c r="B270" s="194"/>
      <c r="C270" s="157"/>
      <c r="D270" s="138"/>
      <c r="E270" s="138"/>
      <c r="F270" s="138"/>
      <c r="G270" s="158" t="str">
        <f>IF(H268&gt;0,"LONG","SHORT")</f>
        <v>SHORT</v>
      </c>
      <c r="H270" s="138">
        <f>ABS(H268*1000)</f>
        <v>152.19933656175044</v>
      </c>
      <c r="I270" s="142"/>
      <c r="J270" s="160"/>
      <c r="K270" s="160"/>
      <c r="L270" s="160"/>
      <c r="M270" s="160"/>
      <c r="N270" s="161"/>
      <c r="O270" s="161"/>
      <c r="P270" s="161"/>
      <c r="Q270" s="162"/>
      <c r="R270" s="150"/>
      <c r="S270" s="151"/>
      <c r="T270" s="163"/>
      <c r="U270" s="163"/>
      <c r="V270" s="154"/>
      <c r="W270" s="154"/>
      <c r="X270" s="154"/>
      <c r="Y270" s="161"/>
      <c r="Z270" s="161"/>
      <c r="AA270" s="161"/>
      <c r="AB270" s="161"/>
      <c r="AC270" s="161"/>
      <c r="AD270" s="161"/>
      <c r="AE270" s="161"/>
      <c r="AF270" s="161"/>
      <c r="AG270" s="161"/>
      <c r="AH270" s="161"/>
      <c r="AI270" s="152"/>
      <c r="AJ270" s="195"/>
      <c r="AK270" s="192"/>
      <c r="AL270" s="151"/>
      <c r="AM270" s="544"/>
      <c r="AN270" s="545"/>
      <c r="AO270" s="508"/>
      <c r="AP270" s="489"/>
      <c r="AQ270" s="489"/>
      <c r="AR270" s="489"/>
      <c r="AS270" s="509" t="str">
        <f>IF(AT268&gt;0,"LONG","SHORT")</f>
        <v>SHORT</v>
      </c>
      <c r="AT270" s="489">
        <f>ABS(AT268*1000)</f>
        <v>154.25153174132333</v>
      </c>
      <c r="AU270" s="493"/>
      <c r="AV270" s="511"/>
      <c r="AW270" s="511"/>
      <c r="AX270" s="511"/>
      <c r="AY270" s="511"/>
      <c r="AZ270" s="512"/>
      <c r="BA270" s="512"/>
      <c r="BB270" s="512"/>
      <c r="BC270" s="513"/>
      <c r="BD270" s="501"/>
      <c r="BE270" s="502"/>
      <c r="BF270" s="514"/>
      <c r="BG270" s="514"/>
      <c r="BH270" s="505"/>
      <c r="BI270" s="505"/>
      <c r="BJ270" s="505"/>
      <c r="BK270" s="512"/>
      <c r="BL270" s="512"/>
      <c r="BM270" s="512"/>
      <c r="BN270" s="512"/>
      <c r="BO270" s="512"/>
      <c r="BP270" s="512"/>
      <c r="BQ270" s="512"/>
      <c r="BR270" s="512"/>
      <c r="BS270" s="512"/>
      <c r="BT270" s="512"/>
      <c r="BU270" s="503"/>
      <c r="BV270" s="546"/>
      <c r="BW270" s="543"/>
      <c r="BX270" s="502"/>
      <c r="BY270" s="797"/>
      <c r="BZ270" s="797"/>
      <c r="CA270" s="797"/>
      <c r="CB270" s="797"/>
      <c r="CC270" s="797"/>
      <c r="CD270" s="797"/>
      <c r="CE270" s="797"/>
      <c r="CF270" s="797"/>
      <c r="CG270" s="797"/>
      <c r="CH270" s="797"/>
      <c r="CI270" s="797"/>
      <c r="CJ270" s="797"/>
      <c r="CK270" s="797"/>
      <c r="CL270" s="797"/>
      <c r="CM270" s="797"/>
      <c r="CN270" s="797"/>
      <c r="CO270" s="797"/>
      <c r="CP270" s="797"/>
      <c r="CQ270" s="797"/>
      <c r="CR270" s="797"/>
      <c r="CS270" s="797"/>
      <c r="CT270" s="797"/>
      <c r="CU270" s="797"/>
    </row>
    <row r="271" spans="1:99" x14ac:dyDescent="0.25">
      <c r="A271" s="196">
        <v>1E-3</v>
      </c>
      <c r="B271" s="197"/>
      <c r="C271" s="154"/>
      <c r="D271" s="154"/>
      <c r="E271" s="154"/>
      <c r="F271" s="161"/>
      <c r="G271" s="161"/>
      <c r="H271" s="191"/>
      <c r="I271" s="161"/>
      <c r="J271" s="161"/>
      <c r="K271" s="161"/>
      <c r="L271" s="161"/>
      <c r="M271" s="161"/>
      <c r="N271" s="161"/>
      <c r="O271" s="191"/>
      <c r="P271" s="149"/>
      <c r="Q271" s="149"/>
      <c r="R271" s="198"/>
      <c r="S271" s="199"/>
      <c r="T271" s="163"/>
      <c r="U271" s="154"/>
      <c r="V271" s="154"/>
      <c r="W271" s="154"/>
      <c r="X271" s="154"/>
      <c r="Y271" s="161"/>
      <c r="Z271" s="161"/>
      <c r="AA271" s="191"/>
      <c r="AB271" s="161"/>
      <c r="AC271" s="161"/>
      <c r="AD271" s="161"/>
      <c r="AE271" s="161"/>
      <c r="AF271" s="161"/>
      <c r="AG271" s="161"/>
      <c r="AH271" s="152"/>
      <c r="AI271" s="161"/>
      <c r="AJ271" s="162"/>
      <c r="AK271" s="200"/>
      <c r="AL271" s="151"/>
      <c r="AM271" s="547">
        <v>1E-3</v>
      </c>
      <c r="AN271" s="548"/>
      <c r="AO271" s="505"/>
      <c r="AP271" s="505"/>
      <c r="AQ271" s="505"/>
      <c r="AR271" s="512"/>
      <c r="AS271" s="512"/>
      <c r="AT271" s="542"/>
      <c r="AU271" s="512"/>
      <c r="AV271" s="512"/>
      <c r="AW271" s="512"/>
      <c r="AX271" s="512"/>
      <c r="AY271" s="512"/>
      <c r="AZ271" s="512"/>
      <c r="BA271" s="542"/>
      <c r="BB271" s="500"/>
      <c r="BC271" s="500"/>
      <c r="BD271" s="543"/>
      <c r="BE271" s="549"/>
      <c r="BF271" s="514"/>
      <c r="BG271" s="505"/>
      <c r="BH271" s="505"/>
      <c r="BI271" s="505"/>
      <c r="BJ271" s="505"/>
      <c r="BK271" s="512"/>
      <c r="BL271" s="512"/>
      <c r="BM271" s="542"/>
      <c r="BN271" s="512"/>
      <c r="BO271" s="512"/>
      <c r="BP271" s="512"/>
      <c r="BQ271" s="512"/>
      <c r="BR271" s="512"/>
      <c r="BS271" s="512"/>
      <c r="BT271" s="503"/>
      <c r="BU271" s="512"/>
      <c r="BV271" s="513"/>
      <c r="BW271" s="550"/>
      <c r="BX271" s="502"/>
      <c r="BY271" s="797"/>
      <c r="BZ271" s="797"/>
      <c r="CA271" s="797"/>
      <c r="CB271" s="797"/>
      <c r="CC271" s="797"/>
      <c r="CD271" s="797"/>
      <c r="CE271" s="797"/>
      <c r="CF271" s="797"/>
      <c r="CG271" s="797"/>
      <c r="CH271" s="797"/>
      <c r="CI271" s="797"/>
      <c r="CJ271" s="797"/>
      <c r="CK271" s="797"/>
      <c r="CL271" s="797"/>
      <c r="CM271" s="797"/>
      <c r="CN271" s="797"/>
      <c r="CO271" s="797"/>
      <c r="CP271" s="797"/>
      <c r="CQ271" s="797"/>
      <c r="CR271" s="797"/>
      <c r="CS271" s="797"/>
      <c r="CT271" s="797"/>
      <c r="CU271" s="797"/>
    </row>
    <row r="272" spans="1:99" x14ac:dyDescent="0.25">
      <c r="A272" s="163">
        <v>0.01</v>
      </c>
      <c r="B272" s="154"/>
      <c r="C272" s="154"/>
      <c r="D272" s="163"/>
      <c r="E272" s="163"/>
      <c r="F272" s="191"/>
      <c r="G272" s="191"/>
      <c r="H272" s="191"/>
      <c r="I272" s="191"/>
      <c r="J272" s="191"/>
      <c r="K272" s="191"/>
      <c r="L272" s="191"/>
      <c r="M272" s="191"/>
      <c r="N272" s="201"/>
      <c r="O272" s="202"/>
      <c r="P272" s="203"/>
      <c r="Q272" s="154"/>
      <c r="R272" s="163"/>
      <c r="S272" s="204"/>
      <c r="T272" s="163"/>
      <c r="U272" s="154"/>
      <c r="V272" s="154"/>
      <c r="W272" s="163"/>
      <c r="X272" s="163"/>
      <c r="Y272" s="191"/>
      <c r="Z272" s="191"/>
      <c r="AA272" s="191"/>
      <c r="AB272" s="191"/>
      <c r="AC272" s="191"/>
      <c r="AD272" s="191"/>
      <c r="AE272" s="191"/>
      <c r="AF272" s="191"/>
      <c r="AG272" s="201"/>
      <c r="AH272" s="205"/>
      <c r="AI272" s="206"/>
      <c r="AJ272" s="149"/>
      <c r="AK272" s="152"/>
      <c r="AL272" s="151"/>
      <c r="AM272" s="514">
        <v>0.01</v>
      </c>
      <c r="AN272" s="505"/>
      <c r="AO272" s="505"/>
      <c r="AP272" s="514"/>
      <c r="AQ272" s="514"/>
      <c r="AR272" s="542"/>
      <c r="AS272" s="542"/>
      <c r="AT272" s="542"/>
      <c r="AU272" s="542"/>
      <c r="AV272" s="542"/>
      <c r="AW272" s="542"/>
      <c r="AX272" s="542"/>
      <c r="AY272" s="542"/>
      <c r="AZ272" s="551"/>
      <c r="BA272" s="552"/>
      <c r="BB272" s="553"/>
      <c r="BC272" s="505"/>
      <c r="BD272" s="514"/>
      <c r="BE272" s="523"/>
      <c r="BF272" s="514"/>
      <c r="BG272" s="505"/>
      <c r="BH272" s="505"/>
      <c r="BI272" s="514"/>
      <c r="BJ272" s="514"/>
      <c r="BK272" s="542"/>
      <c r="BL272" s="542"/>
      <c r="BM272" s="542"/>
      <c r="BN272" s="542"/>
      <c r="BO272" s="542"/>
      <c r="BP272" s="542"/>
      <c r="BQ272" s="542"/>
      <c r="BR272" s="542"/>
      <c r="BS272" s="551"/>
      <c r="BT272" s="554"/>
      <c r="BU272" s="555"/>
      <c r="BV272" s="500"/>
      <c r="BW272" s="503"/>
      <c r="BX272" s="502"/>
      <c r="BY272" s="797"/>
      <c r="BZ272" s="797"/>
      <c r="CA272" s="797"/>
      <c r="CB272" s="797"/>
      <c r="CC272" s="797"/>
      <c r="CD272" s="797"/>
      <c r="CE272" s="797"/>
      <c r="CF272" s="797"/>
      <c r="CG272" s="797"/>
      <c r="CH272" s="797"/>
      <c r="CI272" s="797"/>
      <c r="CJ272" s="797"/>
      <c r="CK272" s="797"/>
      <c r="CL272" s="797"/>
      <c r="CM272" s="797"/>
      <c r="CN272" s="797"/>
      <c r="CO272" s="797"/>
      <c r="CP272" s="797"/>
      <c r="CQ272" s="797"/>
      <c r="CR272" s="797"/>
      <c r="CS272" s="797"/>
      <c r="CT272" s="797"/>
      <c r="CU272" s="797"/>
    </row>
    <row r="273" spans="1:99" x14ac:dyDescent="0.25">
      <c r="A273" s="163"/>
      <c r="B273" s="154"/>
      <c r="C273" s="154"/>
      <c r="D273" s="163"/>
      <c r="E273" s="163"/>
      <c r="F273" s="191"/>
      <c r="G273" s="149"/>
      <c r="H273" s="191"/>
      <c r="I273" s="191"/>
      <c r="J273" s="191"/>
      <c r="K273" s="191"/>
      <c r="L273" s="191"/>
      <c r="M273" s="191"/>
      <c r="N273" s="207"/>
      <c r="O273" s="208"/>
      <c r="P273" s="209"/>
      <c r="Q273" s="154"/>
      <c r="R273" s="210"/>
      <c r="S273" s="211"/>
      <c r="T273" s="163"/>
      <c r="U273" s="154"/>
      <c r="V273" s="154"/>
      <c r="W273" s="163"/>
      <c r="X273" s="163"/>
      <c r="Y273" s="191"/>
      <c r="Z273" s="149"/>
      <c r="AA273" s="191"/>
      <c r="AB273" s="191"/>
      <c r="AC273" s="191"/>
      <c r="AD273" s="191"/>
      <c r="AE273" s="191"/>
      <c r="AF273" s="191"/>
      <c r="AG273" s="207"/>
      <c r="AH273" s="212"/>
      <c r="AI273" s="213"/>
      <c r="AJ273" s="162"/>
      <c r="AK273" s="152"/>
      <c r="AL273" s="151"/>
      <c r="AM273" s="514"/>
      <c r="AN273" s="505"/>
      <c r="AO273" s="505"/>
      <c r="AP273" s="514"/>
      <c r="AQ273" s="514"/>
      <c r="AR273" s="542"/>
      <c r="AS273" s="500"/>
      <c r="AT273" s="542"/>
      <c r="AU273" s="542"/>
      <c r="AV273" s="542"/>
      <c r="AW273" s="542"/>
      <c r="AX273" s="542"/>
      <c r="AY273" s="542"/>
      <c r="AZ273" s="556"/>
      <c r="BA273" s="557"/>
      <c r="BB273" s="558"/>
      <c r="BC273" s="505"/>
      <c r="BD273" s="559"/>
      <c r="BE273" s="560"/>
      <c r="BF273" s="514"/>
      <c r="BG273" s="505"/>
      <c r="BH273" s="505"/>
      <c r="BI273" s="514"/>
      <c r="BJ273" s="514"/>
      <c r="BK273" s="542"/>
      <c r="BL273" s="500"/>
      <c r="BM273" s="542"/>
      <c r="BN273" s="542"/>
      <c r="BO273" s="542"/>
      <c r="BP273" s="542"/>
      <c r="BQ273" s="542"/>
      <c r="BR273" s="542"/>
      <c r="BS273" s="556"/>
      <c r="BT273" s="561"/>
      <c r="BU273" s="562"/>
      <c r="BV273" s="513"/>
      <c r="BW273" s="503"/>
      <c r="BX273" s="502"/>
      <c r="BY273" s="797"/>
      <c r="BZ273" s="797"/>
      <c r="CA273" s="797"/>
      <c r="CB273" s="797"/>
      <c r="CC273" s="797"/>
      <c r="CD273" s="797"/>
      <c r="CE273" s="797"/>
      <c r="CF273" s="797"/>
      <c r="CG273" s="797"/>
      <c r="CH273" s="797"/>
      <c r="CI273" s="797"/>
      <c r="CJ273" s="797"/>
      <c r="CK273" s="797"/>
      <c r="CL273" s="797"/>
      <c r="CM273" s="797"/>
      <c r="CN273" s="797"/>
      <c r="CO273" s="797"/>
      <c r="CP273" s="797"/>
      <c r="CQ273" s="797"/>
      <c r="CR273" s="797"/>
      <c r="CS273" s="797"/>
      <c r="CT273" s="797"/>
      <c r="CU273" s="797"/>
    </row>
    <row r="274" spans="1:99" ht="15.75" thickBot="1" x14ac:dyDescent="0.3">
      <c r="A274" s="166"/>
      <c r="B274" s="214" t="s">
        <v>5</v>
      </c>
      <c r="C274" s="215">
        <f>[1]!GBPJPY</f>
        <v>172.304</v>
      </c>
      <c r="D274" s="216">
        <f>[2]!GBPJPY</f>
        <v>172.37899999999999</v>
      </c>
      <c r="E274" s="215">
        <f>[3]!GBPJPY</f>
        <v>172.53800000000001</v>
      </c>
      <c r="F274" s="215">
        <f>[4]!GBPJPY</f>
        <v>172.15199999999999</v>
      </c>
      <c r="G274" s="217">
        <f>[5]!GBPJPY</f>
        <v>41877.284722222219</v>
      </c>
      <c r="H274" s="563" t="str">
        <f>[6]!GBPJPY</f>
        <v>2014/08/26 06:50 172.304 172.379</v>
      </c>
      <c r="I274" s="160"/>
      <c r="J274" s="160"/>
      <c r="K274" s="160"/>
      <c r="L274" s="160"/>
      <c r="M274" s="160"/>
      <c r="N274" s="161"/>
      <c r="O274" s="161"/>
      <c r="P274" s="161"/>
      <c r="Q274" s="149"/>
      <c r="R274" s="171"/>
      <c r="S274" s="151"/>
      <c r="T274" s="163"/>
      <c r="U274" s="172"/>
      <c r="V274" s="154"/>
      <c r="W274" s="154"/>
      <c r="X274" s="173"/>
      <c r="Y274" s="174"/>
      <c r="Z274" s="161"/>
      <c r="AA274" s="161"/>
      <c r="AB274" s="161"/>
      <c r="AC274" s="161"/>
      <c r="AD274" s="161"/>
      <c r="AE274" s="161"/>
      <c r="AF274" s="161"/>
      <c r="AG274" s="161"/>
      <c r="AH274" s="161"/>
      <c r="AI274" s="161"/>
      <c r="AJ274" s="149"/>
      <c r="AK274" s="171"/>
      <c r="AL274" s="151"/>
      <c r="AM274" s="517"/>
      <c r="AN274" s="214" t="s">
        <v>6</v>
      </c>
      <c r="AO274" s="215">
        <f>[1]!EURJPY</f>
        <v>137.13800000000001</v>
      </c>
      <c r="AP274" s="215">
        <f>[2]!EURJPY</f>
        <v>137.148</v>
      </c>
      <c r="AQ274" s="215">
        <f>[3]!EURJPY</f>
        <v>137.32400000000001</v>
      </c>
      <c r="AR274" s="215">
        <f>[4]!EURJPY</f>
        <v>137.04599999999999</v>
      </c>
      <c r="AS274" s="217">
        <f>[5]!EURJPY</f>
        <v>41877.284722222219</v>
      </c>
      <c r="AT274" s="218" t="str">
        <f>[6]!EURJPY</f>
        <v>2014/08/26 06:50 137.138 137.148</v>
      </c>
      <c r="AU274" s="511"/>
      <c r="AV274" s="511"/>
      <c r="AW274" s="511"/>
      <c r="AX274" s="511"/>
      <c r="AY274" s="511"/>
      <c r="AZ274" s="512"/>
      <c r="BA274" s="512"/>
      <c r="BB274" s="512"/>
      <c r="BC274" s="500"/>
      <c r="BD274" s="502"/>
      <c r="BE274" s="502"/>
      <c r="BF274" s="514"/>
      <c r="BG274" s="522"/>
      <c r="BH274" s="505"/>
      <c r="BI274" s="505"/>
      <c r="BJ274" s="523"/>
      <c r="BK274" s="524"/>
      <c r="BL274" s="512"/>
      <c r="BM274" s="512"/>
      <c r="BN274" s="512"/>
      <c r="BO274" s="512"/>
      <c r="BP274" s="512"/>
      <c r="BQ274" s="512"/>
      <c r="BR274" s="512"/>
      <c r="BS274" s="512"/>
      <c r="BT274" s="512"/>
      <c r="BU274" s="512"/>
      <c r="BV274" s="500"/>
      <c r="BW274" s="502"/>
      <c r="BX274" s="502"/>
      <c r="BY274" s="797"/>
      <c r="BZ274" s="797"/>
      <c r="CA274" s="797"/>
      <c r="CB274" s="797"/>
      <c r="CC274" s="797"/>
      <c r="CD274" s="797"/>
      <c r="CE274" s="797"/>
      <c r="CF274" s="797"/>
      <c r="CG274" s="797"/>
      <c r="CH274" s="797"/>
      <c r="CI274" s="797"/>
      <c r="CJ274" s="797"/>
      <c r="CK274" s="797"/>
      <c r="CL274" s="797"/>
      <c r="CM274" s="797"/>
      <c r="CN274" s="797"/>
      <c r="CO274" s="797"/>
      <c r="CP274" s="797"/>
      <c r="CQ274" s="797"/>
      <c r="CR274" s="797"/>
      <c r="CS274" s="797"/>
      <c r="CT274" s="797"/>
      <c r="CU274" s="797"/>
    </row>
    <row r="275" spans="1:99" ht="15.75" thickBot="1" x14ac:dyDescent="0.3">
      <c r="A275" s="114">
        <f>(E274*A280)</f>
        <v>172.53800000000001</v>
      </c>
      <c r="B275" s="175">
        <f>(K278*A280)</f>
        <v>172.15199999999999</v>
      </c>
      <c r="C275" s="175">
        <f>(L278*A280)</f>
        <v>172.37899999999999</v>
      </c>
      <c r="D275" s="116">
        <f>((A275+B275)/2)+((B275+C275)/2)</f>
        <v>344.6105</v>
      </c>
      <c r="E275" s="116">
        <f>(A275-B275)^2</f>
        <v>0.14899600000001861</v>
      </c>
      <c r="F275" s="116">
        <f>(C275-B275)^2*N277</f>
        <v>5.1529000000001754E-2</v>
      </c>
      <c r="G275" s="219">
        <f>J276</f>
        <v>344.40997499999997</v>
      </c>
      <c r="H275" s="220">
        <f>(G275/2)</f>
        <v>172.20498749999999</v>
      </c>
      <c r="I275" s="116">
        <f>(A275/B275)</f>
        <v>1.0022422045634092</v>
      </c>
      <c r="J275" s="116">
        <f>(C275/B275)</f>
        <v>1.0013186021655283</v>
      </c>
      <c r="K275" s="116">
        <f>I275^0.5</f>
        <v>1.0011204745500959</v>
      </c>
      <c r="L275" s="116">
        <f>J275^0.5</f>
        <v>1.0006590838869791</v>
      </c>
      <c r="M275" s="119">
        <f>INT(K275)-E276</f>
        <v>0</v>
      </c>
      <c r="N275" s="119">
        <f>INT(L275)-E276</f>
        <v>0</v>
      </c>
      <c r="O275" s="119">
        <f>(M275+45/360)^2</f>
        <v>1.5625E-2</v>
      </c>
      <c r="P275" s="119">
        <f>(N275+45/360)^2</f>
        <v>1.5625E-2</v>
      </c>
      <c r="Q275" s="119">
        <f>(O275+P275)/3</f>
        <v>1.0416666666666666E-2</v>
      </c>
      <c r="R275" s="119">
        <f>(Q275*4)</f>
        <v>4.1666666666666664E-2</v>
      </c>
      <c r="S275" s="119">
        <f>R275/3</f>
        <v>1.3888888888888888E-2</v>
      </c>
      <c r="T275" s="120">
        <f>(G276+H275)/2</f>
        <v>172.08437357497843</v>
      </c>
      <c r="U275" s="153"/>
      <c r="V275" s="154"/>
      <c r="W275" s="154"/>
      <c r="X275" s="163"/>
      <c r="Y275" s="174"/>
      <c r="Z275" s="161"/>
      <c r="AA275" s="152"/>
      <c r="AB275" s="161"/>
      <c r="AC275" s="161"/>
      <c r="AD275" s="161"/>
      <c r="AE275" s="161"/>
      <c r="AF275" s="161"/>
      <c r="AG275" s="161"/>
      <c r="AH275" s="161"/>
      <c r="AI275" s="152"/>
      <c r="AJ275" s="162"/>
      <c r="AK275" s="150"/>
      <c r="AL275" s="151"/>
      <c r="AM275" s="564">
        <f>(AQ274*AM280)</f>
        <v>137.32400000000001</v>
      </c>
      <c r="AN275" s="525">
        <f>(AW278*AM280)</f>
        <v>137.04599999999999</v>
      </c>
      <c r="AO275" s="525">
        <f>(AX278*AM280)</f>
        <v>137.148</v>
      </c>
      <c r="AP275" s="466">
        <f>((AM275+AN275)/2)+((AN275+AO275)/2)</f>
        <v>274.28199999999998</v>
      </c>
      <c r="AQ275" s="466">
        <f>(AM275-AN275)^2</f>
        <v>7.7284000000011122E-2</v>
      </c>
      <c r="AR275" s="466">
        <f>(AO275-AN275)^2*AZ277</f>
        <v>1.0404000000000789E-2</v>
      </c>
      <c r="AS275" s="565">
        <f>AV276</f>
        <v>274.19431199999997</v>
      </c>
      <c r="AT275" s="566">
        <f>(AS275/2)</f>
        <v>137.09715599999998</v>
      </c>
      <c r="AU275" s="466">
        <f>(AM275/AN275)</f>
        <v>1.0020285159727391</v>
      </c>
      <c r="AV275" s="466">
        <f>(AO275/AN275)</f>
        <v>1.0007442756446741</v>
      </c>
      <c r="AW275" s="466">
        <f>AU275^0.5</f>
        <v>1.0010137441477709</v>
      </c>
      <c r="AX275" s="466">
        <f>AV275^0.5</f>
        <v>1.0003720686048136</v>
      </c>
      <c r="AY275" s="469">
        <f>INT(AW275)-AQ276</f>
        <v>0</v>
      </c>
      <c r="AZ275" s="469">
        <f>INT(AX275)-AQ276</f>
        <v>0</v>
      </c>
      <c r="BA275" s="469">
        <f>(AY275+45/360)^2</f>
        <v>1.5625E-2</v>
      </c>
      <c r="BB275" s="469">
        <f>(AZ275+45/360)^2</f>
        <v>1.5625E-2</v>
      </c>
      <c r="BC275" s="469">
        <f>(BA275+BB275)/3</f>
        <v>1.0416666666666666E-2</v>
      </c>
      <c r="BD275" s="469">
        <f>(BC275*4)</f>
        <v>4.1666666666666664E-2</v>
      </c>
      <c r="BE275" s="469">
        <f>BD275/3</f>
        <v>1.3888888888888888E-2</v>
      </c>
      <c r="BF275" s="470">
        <f>(AS276+AT275)/2</f>
        <v>136.95175375454804</v>
      </c>
      <c r="BG275" s="504"/>
      <c r="BH275" s="505"/>
      <c r="BI275" s="505"/>
      <c r="BJ275" s="514"/>
      <c r="BK275" s="524"/>
      <c r="BL275" s="512"/>
      <c r="BM275" s="503"/>
      <c r="BN275" s="512"/>
      <c r="BO275" s="512"/>
      <c r="BP275" s="512"/>
      <c r="BQ275" s="512"/>
      <c r="BR275" s="512"/>
      <c r="BS275" s="512"/>
      <c r="BT275" s="512"/>
      <c r="BU275" s="503"/>
      <c r="BV275" s="513"/>
      <c r="BW275" s="501"/>
      <c r="BX275" s="502"/>
      <c r="BY275" s="797"/>
      <c r="BZ275" s="797"/>
      <c r="CA275" s="797"/>
      <c r="CB275" s="797"/>
      <c r="CC275" s="797"/>
      <c r="CD275" s="797"/>
      <c r="CE275" s="797"/>
      <c r="CF275" s="797"/>
      <c r="CG275" s="797"/>
      <c r="CH275" s="797"/>
      <c r="CI275" s="797"/>
      <c r="CJ275" s="797"/>
      <c r="CK275" s="797"/>
      <c r="CL275" s="797"/>
      <c r="CM275" s="797"/>
      <c r="CN275" s="797"/>
      <c r="CO275" s="797"/>
      <c r="CP275" s="797"/>
      <c r="CQ275" s="797"/>
      <c r="CR275" s="797"/>
      <c r="CS275" s="797"/>
      <c r="CT275" s="797"/>
      <c r="CU275" s="797"/>
    </row>
    <row r="276" spans="1:99" ht="15.75" thickBot="1" x14ac:dyDescent="0.3">
      <c r="A276" s="11" t="s">
        <v>46</v>
      </c>
      <c r="B276" s="119">
        <f>Q275/3</f>
        <v>3.472222222222222E-3</v>
      </c>
      <c r="C276" s="119">
        <f>B276/2</f>
        <v>1.736111111111111E-3</v>
      </c>
      <c r="D276" s="122">
        <f>C276/27</f>
        <v>6.4300411522633737E-5</v>
      </c>
      <c r="E276" s="123">
        <v>1</v>
      </c>
      <c r="F276" s="116">
        <f>(F275+E275)^0.5</f>
        <v>0.44780017865117067</v>
      </c>
      <c r="G276" s="221">
        <f>(H275)*((F276-C276-D276)^(B276-C276))</f>
        <v>171.96375964995687</v>
      </c>
      <c r="H276" s="222">
        <f>(C275+A275+G276+T275)/4</f>
        <v>172.24128330623381</v>
      </c>
      <c r="I276" s="116">
        <f>E275-F275-D275</f>
        <v>-344.51303300000001</v>
      </c>
      <c r="J276" s="116">
        <f>D275-E275-F275</f>
        <v>344.40997499999997</v>
      </c>
      <c r="K276" s="116">
        <f>F275+E275-D275</f>
        <v>-344.40997499999997</v>
      </c>
      <c r="L276" s="116">
        <f>F275+D275-E275</f>
        <v>344.51303300000001</v>
      </c>
      <c r="M276" s="126">
        <v>1</v>
      </c>
      <c r="N276" s="119"/>
      <c r="O276" s="119"/>
      <c r="P276" s="119"/>
      <c r="Q276" s="119"/>
      <c r="R276" s="119"/>
      <c r="S276" s="119"/>
      <c r="T276" s="119">
        <f>(H275+T275)/2</f>
        <v>172.14468053748919</v>
      </c>
      <c r="U276" s="180"/>
      <c r="V276" s="163"/>
      <c r="W276" s="154"/>
      <c r="X276" s="154"/>
      <c r="Y276" s="161"/>
      <c r="Z276" s="161"/>
      <c r="AA276" s="161"/>
      <c r="AB276" s="161"/>
      <c r="AC276" s="161"/>
      <c r="AD276" s="161"/>
      <c r="AE276" s="161"/>
      <c r="AF276" s="161"/>
      <c r="AG276" s="162"/>
      <c r="AH276" s="152"/>
      <c r="AI276" s="152"/>
      <c r="AJ276" s="162"/>
      <c r="AK276" s="171"/>
      <c r="AL276" s="151"/>
      <c r="AM276" s="529" t="s">
        <v>46</v>
      </c>
      <c r="AN276" s="469">
        <f>BC275/3</f>
        <v>3.472222222222222E-3</v>
      </c>
      <c r="AO276" s="469">
        <f>AN276/2</f>
        <v>1.736111111111111E-3</v>
      </c>
      <c r="AP276" s="473">
        <f>AO276/27</f>
        <v>6.4300411522633737E-5</v>
      </c>
      <c r="AQ276" s="474">
        <v>1</v>
      </c>
      <c r="AR276" s="466">
        <f>(AR275+AQ275)^0.5</f>
        <v>0.29612159664572241</v>
      </c>
      <c r="AS276" s="567">
        <f>(AT275)*((AR276-AO276-AP276)^(AN276-AO276))</f>
        <v>136.80635150909609</v>
      </c>
      <c r="AT276" s="568">
        <f>(AO275+AM275+AS276+BF275)/4</f>
        <v>137.05752631591102</v>
      </c>
      <c r="AU276" s="466">
        <f>AQ275-AR275-AP275</f>
        <v>-274.21511999999996</v>
      </c>
      <c r="AV276" s="466">
        <f>AP275-AQ275-AR275</f>
        <v>274.19431199999997</v>
      </c>
      <c r="AW276" s="466">
        <f>AR275+AQ275-AP275</f>
        <v>-274.19431199999997</v>
      </c>
      <c r="AX276" s="466">
        <f>AR275+AP275-AQ275</f>
        <v>274.21511999999996</v>
      </c>
      <c r="AY276" s="477">
        <v>1</v>
      </c>
      <c r="AZ276" s="469"/>
      <c r="BA276" s="469"/>
      <c r="BB276" s="469"/>
      <c r="BC276" s="469"/>
      <c r="BD276" s="469"/>
      <c r="BE276" s="469"/>
      <c r="BF276" s="469">
        <f>(AT275+BF275)/2</f>
        <v>137.02445487727402</v>
      </c>
      <c r="BG276" s="531"/>
      <c r="BH276" s="514"/>
      <c r="BI276" s="505"/>
      <c r="BJ276" s="505"/>
      <c r="BK276" s="512"/>
      <c r="BL276" s="512"/>
      <c r="BM276" s="512"/>
      <c r="BN276" s="512"/>
      <c r="BO276" s="512"/>
      <c r="BP276" s="512"/>
      <c r="BQ276" s="512"/>
      <c r="BR276" s="512"/>
      <c r="BS276" s="513"/>
      <c r="BT276" s="503"/>
      <c r="BU276" s="503"/>
      <c r="BV276" s="513"/>
      <c r="BW276" s="502"/>
      <c r="BX276" s="502"/>
      <c r="BY276" s="797"/>
      <c r="BZ276" s="797"/>
      <c r="CA276" s="797"/>
      <c r="CB276" s="797"/>
      <c r="CC276" s="797"/>
      <c r="CD276" s="797"/>
      <c r="CE276" s="797"/>
      <c r="CF276" s="797"/>
      <c r="CG276" s="797"/>
      <c r="CH276" s="797"/>
      <c r="CI276" s="797"/>
      <c r="CJ276" s="797"/>
      <c r="CK276" s="797"/>
      <c r="CL276" s="797"/>
      <c r="CM276" s="797"/>
      <c r="CN276" s="797"/>
      <c r="CO276" s="797"/>
      <c r="CP276" s="797"/>
      <c r="CQ276" s="797"/>
      <c r="CR276" s="797"/>
      <c r="CS276" s="797"/>
      <c r="CT276" s="797"/>
      <c r="CU276" s="797"/>
    </row>
    <row r="277" spans="1:99" ht="15.75" thickBot="1" x14ac:dyDescent="0.3">
      <c r="A277" s="127">
        <f>(((G275+H276)/3)^0.5+D276*B277)^2</f>
        <v>172.21877375420232</v>
      </c>
      <c r="B277" s="119">
        <v>1</v>
      </c>
      <c r="C277" s="181">
        <f>ABS(A277-H276)</f>
        <v>2.250955203149374E-2</v>
      </c>
      <c r="D277" s="181">
        <f>ABS(G276-H276)</f>
        <v>0.27752365627694076</v>
      </c>
      <c r="E277" s="181">
        <f>ABS(D277-C277)</f>
        <v>0.25501410424544702</v>
      </c>
      <c r="F277" s="129">
        <f>(H276+I277)/2</f>
        <v>86.620641653116905</v>
      </c>
      <c r="G277" s="130" t="str">
        <f>IF(H277&gt;0,"1","0")</f>
        <v>0</v>
      </c>
      <c r="H277" s="223">
        <f>(C277-D277)</f>
        <v>-0.25501410424544702</v>
      </c>
      <c r="I277" s="132">
        <f>(INT((G276/M277)^0.5)+M276*N277)^2</f>
        <v>1</v>
      </c>
      <c r="J277" s="133"/>
      <c r="K277" s="134">
        <f>(R287+S289)/2</f>
        <v>0</v>
      </c>
      <c r="L277" s="135">
        <f>((I277+H276)/2+I277)/2</f>
        <v>43.810320826558453</v>
      </c>
      <c r="M277" s="182">
        <v>10000</v>
      </c>
      <c r="N277" s="137">
        <v>1</v>
      </c>
      <c r="O277" s="119"/>
      <c r="P277" s="119"/>
      <c r="Q277" s="119"/>
      <c r="R277" s="119"/>
      <c r="S277" s="119"/>
      <c r="T277" s="119"/>
      <c r="U277" s="154"/>
      <c r="V277" s="154"/>
      <c r="W277" s="154"/>
      <c r="X277" s="154"/>
      <c r="Y277" s="161"/>
      <c r="Z277" s="161"/>
      <c r="AA277" s="161"/>
      <c r="AB277" s="161"/>
      <c r="AC277" s="161"/>
      <c r="AD277" s="161"/>
      <c r="AE277" s="161"/>
      <c r="AF277" s="161"/>
      <c r="AG277" s="161"/>
      <c r="AH277" s="152"/>
      <c r="AI277" s="152"/>
      <c r="AJ277" s="183"/>
      <c r="AK277" s="184"/>
      <c r="AL277" s="151"/>
      <c r="AM277" s="478">
        <f>(((AS275+AT276)/3)^0.5+AP276*AN277)^2</f>
        <v>137.08545180457213</v>
      </c>
      <c r="AN277" s="469">
        <v>1</v>
      </c>
      <c r="AO277" s="532">
        <f>ABS(AM277-AT276)</f>
        <v>2.7925488661111331E-2</v>
      </c>
      <c r="AP277" s="532">
        <f>ABS(AS276-AT276)</f>
        <v>0.25117480681493021</v>
      </c>
      <c r="AQ277" s="532">
        <f>ABS(AP277-AO277)</f>
        <v>0.22324931815381888</v>
      </c>
      <c r="AR277" s="480">
        <f>(AT276+AU277)/2</f>
        <v>69.02876315795551</v>
      </c>
      <c r="AS277" s="481" t="str">
        <f>IF(AT277&gt;0,"1","0")</f>
        <v>0</v>
      </c>
      <c r="AT277" s="569">
        <f>(AO277-AP277)</f>
        <v>-0.22324931815381888</v>
      </c>
      <c r="AU277" s="483">
        <f>(INT((AS276/AY277)^0.5)+AY276*AZ277)^2</f>
        <v>1</v>
      </c>
      <c r="AV277" s="484"/>
      <c r="AW277" s="485">
        <f>(BD287+BE289)/2</f>
        <v>0</v>
      </c>
      <c r="AX277" s="486">
        <f>((AU277+AT276)/2+AU277)/2</f>
        <v>35.014381578977755</v>
      </c>
      <c r="AY277" s="533">
        <v>10000</v>
      </c>
      <c r="AZ277" s="488">
        <v>1</v>
      </c>
      <c r="BA277" s="469"/>
      <c r="BB277" s="469"/>
      <c r="BC277" s="469"/>
      <c r="BD277" s="469"/>
      <c r="BE277" s="469"/>
      <c r="BF277" s="469"/>
      <c r="BG277" s="505"/>
      <c r="BH277" s="505"/>
      <c r="BI277" s="505"/>
      <c r="BJ277" s="505"/>
      <c r="BK277" s="512"/>
      <c r="BL277" s="512"/>
      <c r="BM277" s="512"/>
      <c r="BN277" s="512"/>
      <c r="BO277" s="512"/>
      <c r="BP277" s="512"/>
      <c r="BQ277" s="512"/>
      <c r="BR277" s="512"/>
      <c r="BS277" s="512"/>
      <c r="BT277" s="503"/>
      <c r="BU277" s="503"/>
      <c r="BV277" s="534"/>
      <c r="BW277" s="535"/>
      <c r="BX277" s="502"/>
      <c r="BY277" s="797"/>
      <c r="BZ277" s="797"/>
      <c r="CA277" s="797"/>
      <c r="CB277" s="797"/>
      <c r="CC277" s="797"/>
      <c r="CD277" s="797"/>
      <c r="CE277" s="797"/>
      <c r="CF277" s="797"/>
      <c r="CG277" s="797"/>
      <c r="CH277" s="797"/>
      <c r="CI277" s="797"/>
      <c r="CJ277" s="797"/>
      <c r="CK277" s="797"/>
      <c r="CL277" s="797"/>
      <c r="CM277" s="797"/>
      <c r="CN277" s="797"/>
      <c r="CO277" s="797"/>
      <c r="CP277" s="797"/>
      <c r="CQ277" s="797"/>
      <c r="CR277" s="797"/>
      <c r="CS277" s="797"/>
      <c r="CT277" s="797"/>
      <c r="CU277" s="797"/>
    </row>
    <row r="278" spans="1:99" ht="15.75" thickBot="1" x14ac:dyDescent="0.3">
      <c r="A278" s="185" t="s">
        <v>48</v>
      </c>
      <c r="B278" s="186"/>
      <c r="C278" s="142"/>
      <c r="D278" s="142"/>
      <c r="E278" s="142"/>
      <c r="F278" s="142"/>
      <c r="G278" s="142"/>
      <c r="H278" s="187">
        <f>(G278+F278)/2</f>
        <v>0</v>
      </c>
      <c r="I278" s="187">
        <f>(G278+H278)/2</f>
        <v>0</v>
      </c>
      <c r="J278" s="224">
        <f>(E274)</f>
        <v>172.53800000000001</v>
      </c>
      <c r="K278" s="225">
        <f>(F274)</f>
        <v>172.15199999999999</v>
      </c>
      <c r="L278" s="226">
        <f>D274</f>
        <v>172.37899999999999</v>
      </c>
      <c r="M278" s="148"/>
      <c r="N278" s="149"/>
      <c r="O278" s="149"/>
      <c r="P278" s="149"/>
      <c r="Q278" s="149"/>
      <c r="R278" s="150"/>
      <c r="S278" s="151"/>
      <c r="T278" s="152"/>
      <c r="U278" s="163"/>
      <c r="V278" s="163"/>
      <c r="W278" s="163"/>
      <c r="X278" s="163"/>
      <c r="Y278" s="152"/>
      <c r="Z278" s="152"/>
      <c r="AA278" s="161"/>
      <c r="AB278" s="161"/>
      <c r="AC278" s="161"/>
      <c r="AD278" s="161"/>
      <c r="AE278" s="161"/>
      <c r="AF278" s="161"/>
      <c r="AG278" s="161"/>
      <c r="AH278" s="161"/>
      <c r="AI278" s="152"/>
      <c r="AJ278" s="191"/>
      <c r="AK278" s="192"/>
      <c r="AL278" s="151"/>
      <c r="AM278" s="536" t="s">
        <v>48</v>
      </c>
      <c r="AN278" s="537"/>
      <c r="AO278" s="493"/>
      <c r="AP278" s="493"/>
      <c r="AQ278" s="493"/>
      <c r="AR278" s="493"/>
      <c r="AS278" s="493"/>
      <c r="AT278" s="538">
        <f>(AS278+AR278)/2</f>
        <v>0</v>
      </c>
      <c r="AU278" s="538">
        <f>(AS278+AT278)/2</f>
        <v>0</v>
      </c>
      <c r="AV278" s="570">
        <f>(AQ274)</f>
        <v>137.32400000000001</v>
      </c>
      <c r="AW278" s="571">
        <f>(AR274)</f>
        <v>137.04599999999999</v>
      </c>
      <c r="AX278" s="572">
        <f>AP274</f>
        <v>137.148</v>
      </c>
      <c r="AY278" s="499"/>
      <c r="AZ278" s="500"/>
      <c r="BA278" s="500"/>
      <c r="BB278" s="500"/>
      <c r="BC278" s="500"/>
      <c r="BD278" s="501"/>
      <c r="BE278" s="502"/>
      <c r="BF278" s="503"/>
      <c r="BG278" s="514"/>
      <c r="BH278" s="514"/>
      <c r="BI278" s="514"/>
      <c r="BJ278" s="514"/>
      <c r="BK278" s="503"/>
      <c r="BL278" s="503"/>
      <c r="BM278" s="512"/>
      <c r="BN278" s="512"/>
      <c r="BO278" s="512"/>
      <c r="BP278" s="512"/>
      <c r="BQ278" s="512"/>
      <c r="BR278" s="512"/>
      <c r="BS278" s="512"/>
      <c r="BT278" s="512"/>
      <c r="BU278" s="503"/>
      <c r="BV278" s="542"/>
      <c r="BW278" s="543"/>
      <c r="BX278" s="502"/>
      <c r="BY278" s="797"/>
      <c r="BZ278" s="797"/>
      <c r="CA278" s="797"/>
      <c r="CB278" s="797"/>
      <c r="CC278" s="797"/>
      <c r="CD278" s="797"/>
      <c r="CE278" s="797"/>
      <c r="CF278" s="797"/>
      <c r="CG278" s="797"/>
      <c r="CH278" s="797"/>
      <c r="CI278" s="797"/>
      <c r="CJ278" s="797"/>
      <c r="CK278" s="797"/>
      <c r="CL278" s="797"/>
      <c r="CM278" s="797"/>
      <c r="CN278" s="797"/>
      <c r="CO278" s="797"/>
      <c r="CP278" s="797"/>
      <c r="CQ278" s="797"/>
      <c r="CR278" s="797"/>
      <c r="CS278" s="797"/>
      <c r="CT278" s="797"/>
      <c r="CU278" s="797"/>
    </row>
    <row r="279" spans="1:99" x14ac:dyDescent="0.25">
      <c r="A279" s="193"/>
      <c r="B279" s="194"/>
      <c r="C279" s="157"/>
      <c r="D279" s="138"/>
      <c r="E279" s="138"/>
      <c r="F279" s="138"/>
      <c r="G279" s="158" t="str">
        <f>IF(H277&gt;0,"LONG","SHORT")</f>
        <v>SHORT</v>
      </c>
      <c r="H279" s="138">
        <f>ABS(H277*1000)</f>
        <v>255.01410424544702</v>
      </c>
      <c r="I279" s="142"/>
      <c r="J279" s="160"/>
      <c r="K279" s="160"/>
      <c r="L279" s="160"/>
      <c r="M279" s="160"/>
      <c r="N279" s="161"/>
      <c r="O279" s="161"/>
      <c r="P279" s="161"/>
      <c r="Q279" s="162"/>
      <c r="R279" s="150"/>
      <c r="S279" s="151"/>
      <c r="T279" s="163"/>
      <c r="U279" s="163"/>
      <c r="V279" s="154"/>
      <c r="W279" s="154"/>
      <c r="X279" s="154"/>
      <c r="Y279" s="161"/>
      <c r="Z279" s="161"/>
      <c r="AA279" s="161"/>
      <c r="AB279" s="161"/>
      <c r="AC279" s="161"/>
      <c r="AD279" s="161"/>
      <c r="AE279" s="161"/>
      <c r="AF279" s="161"/>
      <c r="AG279" s="161"/>
      <c r="AH279" s="161"/>
      <c r="AI279" s="152"/>
      <c r="AJ279" s="195"/>
      <c r="AK279" s="192"/>
      <c r="AL279" s="151"/>
      <c r="AM279" s="544"/>
      <c r="AN279" s="545"/>
      <c r="AO279" s="508"/>
      <c r="AP279" s="489"/>
      <c r="AQ279" s="489"/>
      <c r="AR279" s="489"/>
      <c r="AS279" s="509" t="str">
        <f>IF(AT277&gt;0,"LONG","SHORT")</f>
        <v>SHORT</v>
      </c>
      <c r="AT279" s="489">
        <f>ABS(AT277*1000)</f>
        <v>223.24931815381888</v>
      </c>
      <c r="AU279" s="493"/>
      <c r="AV279" s="511"/>
      <c r="AW279" s="511"/>
      <c r="AX279" s="511"/>
      <c r="AY279" s="511"/>
      <c r="AZ279" s="512"/>
      <c r="BA279" s="512"/>
      <c r="BB279" s="512"/>
      <c r="BC279" s="513"/>
      <c r="BD279" s="501"/>
      <c r="BE279" s="502"/>
      <c r="BF279" s="514"/>
      <c r="BG279" s="514"/>
      <c r="BH279" s="505"/>
      <c r="BI279" s="505"/>
      <c r="BJ279" s="505"/>
      <c r="BK279" s="512"/>
      <c r="BL279" s="512"/>
      <c r="BM279" s="512"/>
      <c r="BN279" s="512"/>
      <c r="BO279" s="512"/>
      <c r="BP279" s="512"/>
      <c r="BQ279" s="512"/>
      <c r="BR279" s="512"/>
      <c r="BS279" s="512"/>
      <c r="BT279" s="512"/>
      <c r="BU279" s="503"/>
      <c r="BV279" s="546"/>
      <c r="BW279" s="543"/>
      <c r="BX279" s="502"/>
      <c r="BY279" s="797"/>
      <c r="BZ279" s="797"/>
      <c r="CA279" s="797"/>
      <c r="CB279" s="797"/>
      <c r="CC279" s="797"/>
      <c r="CD279" s="797"/>
      <c r="CE279" s="797"/>
      <c r="CF279" s="797"/>
      <c r="CG279" s="797"/>
      <c r="CH279" s="797"/>
      <c r="CI279" s="797"/>
      <c r="CJ279" s="797"/>
      <c r="CK279" s="797"/>
      <c r="CL279" s="797"/>
      <c r="CM279" s="797"/>
      <c r="CN279" s="797"/>
      <c r="CO279" s="797"/>
      <c r="CP279" s="797"/>
      <c r="CQ279" s="797"/>
      <c r="CR279" s="797"/>
      <c r="CS279" s="797"/>
      <c r="CT279" s="797"/>
      <c r="CU279" s="797"/>
    </row>
    <row r="280" spans="1:99" x14ac:dyDescent="0.25">
      <c r="A280" s="227">
        <v>1</v>
      </c>
      <c r="B280" s="197">
        <v>0</v>
      </c>
      <c r="C280" s="154"/>
      <c r="D280" s="154"/>
      <c r="E280" s="154"/>
      <c r="F280" s="161"/>
      <c r="G280" s="161"/>
      <c r="H280" s="191"/>
      <c r="I280" s="161"/>
      <c r="J280" s="161"/>
      <c r="K280" s="161"/>
      <c r="L280" s="161"/>
      <c r="M280" s="161"/>
      <c r="N280" s="161"/>
      <c r="O280" s="191"/>
      <c r="P280" s="149"/>
      <c r="Q280" s="149"/>
      <c r="R280" s="198"/>
      <c r="S280" s="199"/>
      <c r="T280" s="163"/>
      <c r="U280" s="154"/>
      <c r="V280" s="154"/>
      <c r="W280" s="154"/>
      <c r="X280" s="154"/>
      <c r="Y280" s="161"/>
      <c r="Z280" s="161"/>
      <c r="AA280" s="191"/>
      <c r="AB280" s="161"/>
      <c r="AC280" s="161"/>
      <c r="AD280" s="161"/>
      <c r="AE280" s="161"/>
      <c r="AF280" s="161"/>
      <c r="AG280" s="161"/>
      <c r="AH280" s="152"/>
      <c r="AI280" s="161"/>
      <c r="AJ280" s="162"/>
      <c r="AK280" s="200"/>
      <c r="AL280" s="151"/>
      <c r="AM280" s="573">
        <v>1</v>
      </c>
      <c r="AN280" s="548">
        <v>0</v>
      </c>
      <c r="AO280" s="505"/>
      <c r="AP280" s="505"/>
      <c r="AQ280" s="505"/>
      <c r="AR280" s="512"/>
      <c r="AS280" s="512"/>
      <c r="AT280" s="542"/>
      <c r="AU280" s="512"/>
      <c r="AV280" s="512"/>
      <c r="AW280" s="512"/>
      <c r="AX280" s="512"/>
      <c r="AY280" s="512"/>
      <c r="AZ280" s="512"/>
      <c r="BA280" s="542"/>
      <c r="BB280" s="500"/>
      <c r="BC280" s="500"/>
      <c r="BD280" s="543"/>
      <c r="BE280" s="549"/>
      <c r="BF280" s="514"/>
      <c r="BG280" s="505"/>
      <c r="BH280" s="505"/>
      <c r="BI280" s="505"/>
      <c r="BJ280" s="505"/>
      <c r="BK280" s="512"/>
      <c r="BL280" s="512"/>
      <c r="BM280" s="542"/>
      <c r="BN280" s="512"/>
      <c r="BO280" s="512"/>
      <c r="BP280" s="512"/>
      <c r="BQ280" s="512"/>
      <c r="BR280" s="512"/>
      <c r="BS280" s="512"/>
      <c r="BT280" s="503"/>
      <c r="BU280" s="512"/>
      <c r="BV280" s="513"/>
      <c r="BW280" s="550"/>
      <c r="BX280" s="502"/>
      <c r="BY280" s="797"/>
      <c r="BZ280" s="797"/>
      <c r="CA280" s="797"/>
      <c r="CB280" s="797"/>
      <c r="CC280" s="797"/>
      <c r="CD280" s="797"/>
      <c r="CE280" s="797"/>
      <c r="CF280" s="797"/>
      <c r="CG280" s="797"/>
      <c r="CH280" s="797"/>
      <c r="CI280" s="797"/>
      <c r="CJ280" s="797"/>
      <c r="CK280" s="797"/>
      <c r="CL280" s="797"/>
      <c r="CM280" s="797"/>
      <c r="CN280" s="797"/>
      <c r="CO280" s="797"/>
      <c r="CP280" s="797"/>
      <c r="CQ280" s="797"/>
      <c r="CR280" s="797"/>
      <c r="CS280" s="797"/>
      <c r="CT280" s="797"/>
      <c r="CU280" s="797"/>
    </row>
    <row r="281" spans="1:99" x14ac:dyDescent="0.25">
      <c r="A281" s="163">
        <v>0.01</v>
      </c>
      <c r="B281" s="154"/>
      <c r="C281" s="154"/>
      <c r="D281" s="163"/>
      <c r="E281" s="163"/>
      <c r="F281" s="191"/>
      <c r="G281" s="191"/>
      <c r="H281" s="191"/>
      <c r="I281" s="191"/>
      <c r="J281" s="191"/>
      <c r="K281" s="191"/>
      <c r="L281" s="191"/>
      <c r="M281" s="191"/>
      <c r="N281" s="228"/>
      <c r="O281" s="229"/>
      <c r="P281" s="230"/>
      <c r="Q281" s="154"/>
      <c r="R281" s="163"/>
      <c r="S281" s="204"/>
      <c r="T281" s="163"/>
      <c r="U281" s="154"/>
      <c r="V281" s="154"/>
      <c r="W281" s="163"/>
      <c r="X281" s="163"/>
      <c r="Y281" s="191"/>
      <c r="Z281" s="191"/>
      <c r="AA281" s="191"/>
      <c r="AB281" s="191"/>
      <c r="AC281" s="191"/>
      <c r="AD281" s="191"/>
      <c r="AE281" s="191"/>
      <c r="AF281" s="191"/>
      <c r="AG281" s="201"/>
      <c r="AH281" s="205"/>
      <c r="AI281" s="206"/>
      <c r="AJ281" s="149"/>
      <c r="AK281" s="152"/>
      <c r="AL281" s="151"/>
      <c r="AM281" s="514">
        <v>0.01</v>
      </c>
      <c r="AN281" s="505"/>
      <c r="AO281" s="505"/>
      <c r="AP281" s="514"/>
      <c r="AQ281" s="514"/>
      <c r="AR281" s="542"/>
      <c r="AS281" s="542"/>
      <c r="AT281" s="542"/>
      <c r="AU281" s="542"/>
      <c r="AV281" s="542"/>
      <c r="AW281" s="542"/>
      <c r="AX281" s="542"/>
      <c r="AY281" s="542"/>
      <c r="AZ281" s="574"/>
      <c r="BA281" s="575"/>
      <c r="BB281" s="576"/>
      <c r="BC281" s="505"/>
      <c r="BD281" s="514"/>
      <c r="BE281" s="523"/>
      <c r="BF281" s="514"/>
      <c r="BG281" s="505"/>
      <c r="BH281" s="505"/>
      <c r="BI281" s="514"/>
      <c r="BJ281" s="514"/>
      <c r="BK281" s="542"/>
      <c r="BL281" s="542"/>
      <c r="BM281" s="542"/>
      <c r="BN281" s="542"/>
      <c r="BO281" s="542"/>
      <c r="BP281" s="542"/>
      <c r="BQ281" s="542"/>
      <c r="BR281" s="542"/>
      <c r="BS281" s="551"/>
      <c r="BT281" s="554"/>
      <c r="BU281" s="555"/>
      <c r="BV281" s="500"/>
      <c r="BW281" s="503"/>
      <c r="BX281" s="502"/>
      <c r="BY281" s="797"/>
      <c r="BZ281" s="797"/>
      <c r="CA281" s="797"/>
      <c r="CB281" s="797"/>
      <c r="CC281" s="797"/>
      <c r="CD281" s="797"/>
      <c r="CE281" s="797"/>
      <c r="CF281" s="797"/>
      <c r="CG281" s="797"/>
      <c r="CH281" s="797"/>
      <c r="CI281" s="797"/>
      <c r="CJ281" s="797"/>
      <c r="CK281" s="797"/>
      <c r="CL281" s="797"/>
      <c r="CM281" s="797"/>
      <c r="CN281" s="797"/>
      <c r="CO281" s="797"/>
      <c r="CP281" s="797"/>
      <c r="CQ281" s="797"/>
      <c r="CR281" s="797"/>
      <c r="CS281" s="797"/>
      <c r="CT281" s="797"/>
      <c r="CU281" s="797"/>
    </row>
    <row r="282" spans="1:99" x14ac:dyDescent="0.25">
      <c r="A282" s="231"/>
      <c r="B282" s="231"/>
      <c r="C282" s="232"/>
      <c r="D282" s="233"/>
      <c r="E282" s="234"/>
      <c r="F282" s="234"/>
      <c r="G282" s="234"/>
      <c r="H282" s="235"/>
      <c r="I282" s="236"/>
      <c r="J282" s="236"/>
      <c r="K282" s="236"/>
      <c r="L282" s="236"/>
      <c r="M282" s="236"/>
      <c r="N282" s="236"/>
      <c r="O282" s="236"/>
      <c r="P282" s="236"/>
      <c r="Q282" s="236"/>
      <c r="R282" s="236"/>
      <c r="S282" s="237"/>
      <c r="T282" s="163"/>
      <c r="U282" s="154"/>
      <c r="V282" s="154"/>
      <c r="W282" s="163"/>
      <c r="X282" s="163"/>
      <c r="Y282" s="191"/>
      <c r="Z282" s="149"/>
      <c r="AA282" s="191"/>
      <c r="AB282" s="191"/>
      <c r="AC282" s="191"/>
      <c r="AD282" s="191"/>
      <c r="AE282" s="191"/>
      <c r="AF282" s="191"/>
      <c r="AG282" s="207"/>
      <c r="AH282" s="212"/>
      <c r="AI282" s="213"/>
      <c r="AJ282" s="162"/>
      <c r="AK282" s="152"/>
      <c r="AL282" s="151"/>
      <c r="AM282" s="577"/>
      <c r="AN282" s="577"/>
      <c r="AO282" s="578"/>
      <c r="AP282" s="579"/>
      <c r="AQ282" s="580"/>
      <c r="AR282" s="580"/>
      <c r="AS282" s="580"/>
      <c r="AT282" s="581"/>
      <c r="AU282" s="582"/>
      <c r="AV282" s="582"/>
      <c r="AW282" s="582"/>
      <c r="AX282" s="582"/>
      <c r="AY282" s="582"/>
      <c r="AZ282" s="582"/>
      <c r="BA282" s="582"/>
      <c r="BB282" s="582"/>
      <c r="BC282" s="582"/>
      <c r="BD282" s="582"/>
      <c r="BE282" s="583"/>
      <c r="BF282" s="514"/>
      <c r="BG282" s="505"/>
      <c r="BH282" s="505"/>
      <c r="BI282" s="514"/>
      <c r="BJ282" s="514"/>
      <c r="BK282" s="542"/>
      <c r="BL282" s="500"/>
      <c r="BM282" s="542"/>
      <c r="BN282" s="542"/>
      <c r="BO282" s="542"/>
      <c r="BP282" s="542"/>
      <c r="BQ282" s="542"/>
      <c r="BR282" s="542"/>
      <c r="BS282" s="556"/>
      <c r="BT282" s="561"/>
      <c r="BU282" s="562"/>
      <c r="BV282" s="513"/>
      <c r="BW282" s="503"/>
      <c r="BX282" s="502"/>
      <c r="BY282" s="797"/>
      <c r="BZ282" s="797"/>
      <c r="CA282" s="797"/>
      <c r="CB282" s="797"/>
      <c r="CC282" s="797"/>
      <c r="CD282" s="797"/>
      <c r="CE282" s="797"/>
      <c r="CF282" s="797"/>
      <c r="CG282" s="797"/>
      <c r="CH282" s="797"/>
      <c r="CI282" s="797"/>
      <c r="CJ282" s="797"/>
      <c r="CK282" s="797"/>
      <c r="CL282" s="797"/>
      <c r="CM282" s="797"/>
      <c r="CN282" s="797"/>
      <c r="CO282" s="797"/>
      <c r="CP282" s="797"/>
      <c r="CQ282" s="797"/>
      <c r="CR282" s="797"/>
      <c r="CS282" s="797"/>
      <c r="CT282" s="797"/>
      <c r="CU282" s="797"/>
    </row>
    <row r="283" spans="1:99" x14ac:dyDescent="0.25">
      <c r="A283" s="238" t="str">
        <f>N347</f>
        <v>0</v>
      </c>
      <c r="B283" s="239"/>
      <c r="C283" s="240"/>
      <c r="D283" s="241" t="str">
        <f>IF((B285-A285)&gt;(C285-D285),"1","0")</f>
        <v>0</v>
      </c>
      <c r="E283" s="242"/>
      <c r="F283" s="243" t="str">
        <f>N347</f>
        <v>0</v>
      </c>
      <c r="G283" s="240"/>
      <c r="H283" s="234"/>
      <c r="I283" s="236"/>
      <c r="J283" s="236"/>
      <c r="K283" s="243" t="str">
        <f>N347</f>
        <v>0</v>
      </c>
      <c r="L283" s="236"/>
      <c r="M283" s="236"/>
      <c r="N283" s="236"/>
      <c r="O283" s="236"/>
      <c r="P283" s="236"/>
      <c r="Q283" s="236"/>
      <c r="R283" s="236"/>
      <c r="S283" s="244"/>
      <c r="T283" s="171"/>
      <c r="U283" s="171"/>
      <c r="V283" s="245"/>
      <c r="W283" s="171"/>
      <c r="X283" s="152"/>
      <c r="Y283" s="152"/>
      <c r="Z283" s="245"/>
      <c r="AA283" s="152"/>
      <c r="AB283" s="171"/>
      <c r="AC283" s="151"/>
      <c r="AD283" s="151"/>
      <c r="AE283" s="151"/>
      <c r="AF283" s="246"/>
      <c r="AG283" s="247"/>
      <c r="AH283" s="247"/>
      <c r="AI283" s="247"/>
      <c r="AJ283" s="248"/>
      <c r="AK283" s="249"/>
      <c r="AL283" s="244"/>
      <c r="AM283" s="584" t="str">
        <f>AZ347</f>
        <v>1</v>
      </c>
      <c r="AN283" s="585"/>
      <c r="AO283" s="586"/>
      <c r="AP283" s="587" t="str">
        <f>IF((AN285-AM285)&gt;(AO285-AP285),"1","0")</f>
        <v>0</v>
      </c>
      <c r="AQ283" s="588"/>
      <c r="AR283" s="589" t="str">
        <f>AZ347</f>
        <v>1</v>
      </c>
      <c r="AS283" s="586"/>
      <c r="AT283" s="580"/>
      <c r="AU283" s="582"/>
      <c r="AV283" s="582"/>
      <c r="AW283" s="589" t="str">
        <f>AZ347</f>
        <v>1</v>
      </c>
      <c r="AX283" s="582"/>
      <c r="AY283" s="582"/>
      <c r="AZ283" s="582"/>
      <c r="BA283" s="582"/>
      <c r="BB283" s="582"/>
      <c r="BC283" s="582"/>
      <c r="BD283" s="582"/>
      <c r="BE283" s="590"/>
      <c r="BF283" s="502"/>
      <c r="BG283" s="502"/>
      <c r="BH283" s="535"/>
      <c r="BI283" s="502"/>
      <c r="BJ283" s="503"/>
      <c r="BK283" s="503"/>
      <c r="BL283" s="535"/>
      <c r="BM283" s="503"/>
      <c r="BN283" s="502"/>
      <c r="BO283" s="502"/>
      <c r="BP283" s="502"/>
      <c r="BQ283" s="502"/>
      <c r="BR283" s="512"/>
      <c r="BS283" s="503"/>
      <c r="BT283" s="503"/>
      <c r="BU283" s="503"/>
      <c r="BV283" s="590"/>
      <c r="BW283" s="591"/>
      <c r="BX283" s="590"/>
      <c r="BY283" s="797"/>
      <c r="BZ283" s="797"/>
      <c r="CA283" s="797"/>
      <c r="CB283" s="797"/>
      <c r="CC283" s="797"/>
      <c r="CD283" s="797"/>
      <c r="CE283" s="797"/>
      <c r="CF283" s="797"/>
      <c r="CG283" s="797"/>
      <c r="CH283" s="797"/>
      <c r="CI283" s="797"/>
      <c r="CJ283" s="797"/>
      <c r="CK283" s="797"/>
      <c r="CL283" s="797"/>
      <c r="CM283" s="797"/>
      <c r="CN283" s="797"/>
      <c r="CO283" s="797"/>
      <c r="CP283" s="797"/>
      <c r="CQ283" s="797"/>
      <c r="CR283" s="797"/>
      <c r="CS283" s="797"/>
      <c r="CT283" s="797"/>
      <c r="CU283" s="797"/>
    </row>
    <row r="284" spans="1:99" ht="15.75" thickBot="1" x14ac:dyDescent="0.3">
      <c r="A284" s="240"/>
      <c r="B284" s="240"/>
      <c r="C284" s="240"/>
      <c r="D284" s="240"/>
      <c r="E284" s="240"/>
      <c r="F284" s="240"/>
      <c r="G284" s="240"/>
      <c r="H284" s="240"/>
      <c r="I284" s="236"/>
      <c r="J284" s="236"/>
      <c r="K284" s="236"/>
      <c r="L284" s="236"/>
      <c r="M284" s="236"/>
      <c r="N284" s="236"/>
      <c r="O284" s="236"/>
      <c r="P284" s="236"/>
      <c r="Q284" s="236"/>
      <c r="R284" s="236"/>
      <c r="S284" s="244"/>
      <c r="T284" s="171"/>
      <c r="U284" s="171"/>
      <c r="V284" s="245"/>
      <c r="W284" s="171"/>
      <c r="X284" s="152"/>
      <c r="Y284" s="152"/>
      <c r="Z284" s="245"/>
      <c r="AA284" s="152"/>
      <c r="AB284" s="171"/>
      <c r="AC284" s="151"/>
      <c r="AD284" s="151"/>
      <c r="AE284" s="151"/>
      <c r="AF284" s="246"/>
      <c r="AG284" s="247"/>
      <c r="AH284" s="247"/>
      <c r="AI284" s="247"/>
      <c r="AJ284" s="245"/>
      <c r="AK284" s="250"/>
      <c r="AL284" s="244"/>
      <c r="AM284" s="586"/>
      <c r="AN284" s="586"/>
      <c r="AO284" s="586"/>
      <c r="AP284" s="586"/>
      <c r="AQ284" s="586"/>
      <c r="AR284" s="586"/>
      <c r="AS284" s="586"/>
      <c r="AT284" s="586"/>
      <c r="AU284" s="582"/>
      <c r="AV284" s="582"/>
      <c r="AW284" s="582"/>
      <c r="AX284" s="582"/>
      <c r="AY284" s="582"/>
      <c r="AZ284" s="582"/>
      <c r="BA284" s="582"/>
      <c r="BB284" s="582"/>
      <c r="BC284" s="582"/>
      <c r="BD284" s="582"/>
      <c r="BE284" s="590"/>
      <c r="BF284" s="502"/>
      <c r="BG284" s="502"/>
      <c r="BH284" s="535"/>
      <c r="BI284" s="502"/>
      <c r="BJ284" s="503"/>
      <c r="BK284" s="503"/>
      <c r="BL284" s="535"/>
      <c r="BM284" s="503"/>
      <c r="BN284" s="502"/>
      <c r="BO284" s="502"/>
      <c r="BP284" s="502"/>
      <c r="BQ284" s="502"/>
      <c r="BR284" s="512"/>
      <c r="BS284" s="503"/>
      <c r="BT284" s="503"/>
      <c r="BU284" s="503"/>
      <c r="BV284" s="535"/>
      <c r="BW284" s="592"/>
      <c r="BX284" s="590"/>
      <c r="BY284" s="797"/>
      <c r="BZ284" s="797"/>
      <c r="CA284" s="797"/>
      <c r="CB284" s="797"/>
      <c r="CC284" s="797"/>
      <c r="CD284" s="797"/>
      <c r="CE284" s="797"/>
      <c r="CF284" s="797"/>
      <c r="CG284" s="797"/>
      <c r="CH284" s="797"/>
      <c r="CI284" s="797"/>
      <c r="CJ284" s="797"/>
      <c r="CK284" s="797"/>
      <c r="CL284" s="797"/>
      <c r="CM284" s="797"/>
      <c r="CN284" s="797"/>
      <c r="CO284" s="797"/>
      <c r="CP284" s="797"/>
      <c r="CQ284" s="797"/>
      <c r="CR284" s="797"/>
      <c r="CS284" s="797"/>
      <c r="CT284" s="797"/>
      <c r="CU284" s="797"/>
    </row>
    <row r="285" spans="1:99" ht="15.75" thickBot="1" x14ac:dyDescent="0.3">
      <c r="A285" s="251">
        <f>(A297+A293*2)/3</f>
        <v>172783.87044342127</v>
      </c>
      <c r="B285" s="251">
        <f>(A287+A294*2)/3</f>
        <v>172431.15812175939</v>
      </c>
      <c r="C285" s="252">
        <f>A255</f>
        <v>172693</v>
      </c>
      <c r="D285" s="253">
        <f>B255</f>
        <v>172305</v>
      </c>
      <c r="E285" s="254">
        <f>(I297+K293+Q303)/3</f>
        <v>172611.1969676204</v>
      </c>
      <c r="F285" s="254">
        <f>(J297+K295+R304)/3</f>
        <v>172099.54076004014</v>
      </c>
      <c r="G285" s="254">
        <f>I300</f>
        <v>172321.71359375</v>
      </c>
      <c r="H285" s="255">
        <f>I299</f>
        <v>172282.48959362449</v>
      </c>
      <c r="I285" s="256">
        <f>((D286+F286+H286)^0.5)*10000</f>
        <v>13712.066604918235</v>
      </c>
      <c r="J285" s="256">
        <f>INT(I285/3)</f>
        <v>4570</v>
      </c>
      <c r="K285" s="256">
        <f>(J285)/30000</f>
        <v>0.15233333333333332</v>
      </c>
      <c r="L285" s="257"/>
      <c r="M285" s="257"/>
      <c r="N285" s="257"/>
      <c r="O285" s="257"/>
      <c r="P285" s="257"/>
      <c r="Q285" s="257"/>
      <c r="R285" s="257"/>
      <c r="S285" s="151"/>
      <c r="T285" s="171"/>
      <c r="U285" s="171"/>
      <c r="V285" s="245"/>
      <c r="W285" s="171"/>
      <c r="X285" s="258"/>
      <c r="Y285" s="258"/>
      <c r="Z285" s="259"/>
      <c r="AA285" s="258"/>
      <c r="AB285" s="171"/>
      <c r="AC285" s="151"/>
      <c r="AD285" s="151"/>
      <c r="AE285" s="151"/>
      <c r="AF285" s="151"/>
      <c r="AG285" s="171"/>
      <c r="AH285" s="171"/>
      <c r="AI285" s="171"/>
      <c r="AJ285" s="260"/>
      <c r="AK285" s="245"/>
      <c r="AL285" s="151"/>
      <c r="AM285" s="593">
        <f>(AM297+AM293*2)/3</f>
        <v>138942.88194060998</v>
      </c>
      <c r="AN285" s="593">
        <f>(AM287+AM294*2)/3</f>
        <v>139395.41789712416</v>
      </c>
      <c r="AO285" s="594">
        <f>AM255</f>
        <v>137699</v>
      </c>
      <c r="AP285" s="595">
        <f>AN255</f>
        <v>137212</v>
      </c>
      <c r="AQ285" s="596">
        <f>(AU297+AW293+BC303)/3</f>
        <v>137298.50591287014</v>
      </c>
      <c r="AR285" s="596">
        <f>(AV297+AW295+BD304)/3</f>
        <v>137389.85346401227</v>
      </c>
      <c r="AS285" s="596">
        <f>AU300</f>
        <v>137514.19942708334</v>
      </c>
      <c r="AT285" s="597">
        <f>AU299</f>
        <v>137474.44382828186</v>
      </c>
      <c r="AU285" s="598">
        <f>((AP286+AR286+AT286)^0.5)*10000</f>
        <v>15517.885356425739</v>
      </c>
      <c r="AV285" s="598">
        <f>INT(AU285/3)</f>
        <v>5172</v>
      </c>
      <c r="AW285" s="598">
        <f>(AV285)/30000</f>
        <v>0.1724</v>
      </c>
      <c r="AX285" s="599"/>
      <c r="AY285" s="599"/>
      <c r="AZ285" s="599"/>
      <c r="BA285" s="599"/>
      <c r="BB285" s="599"/>
      <c r="BC285" s="599"/>
      <c r="BD285" s="599"/>
      <c r="BE285" s="502"/>
      <c r="BF285" s="502"/>
      <c r="BG285" s="502"/>
      <c r="BH285" s="535"/>
      <c r="BI285" s="502"/>
      <c r="BJ285" s="600"/>
      <c r="BK285" s="600"/>
      <c r="BL285" s="549"/>
      <c r="BM285" s="600"/>
      <c r="BN285" s="502"/>
      <c r="BO285" s="502"/>
      <c r="BP285" s="502"/>
      <c r="BQ285" s="502"/>
      <c r="BR285" s="502"/>
      <c r="BS285" s="502"/>
      <c r="BT285" s="502"/>
      <c r="BU285" s="502"/>
      <c r="BV285" s="601"/>
      <c r="BW285" s="535"/>
      <c r="BX285" s="502"/>
      <c r="BY285" s="797"/>
      <c r="BZ285" s="797"/>
      <c r="CA285" s="797"/>
      <c r="CB285" s="797"/>
      <c r="CC285" s="797"/>
      <c r="CD285" s="797"/>
      <c r="CE285" s="797"/>
      <c r="CF285" s="797"/>
      <c r="CG285" s="797"/>
      <c r="CH285" s="797"/>
      <c r="CI285" s="797"/>
      <c r="CJ285" s="797"/>
      <c r="CK285" s="797"/>
      <c r="CL285" s="797"/>
      <c r="CM285" s="797"/>
      <c r="CN285" s="797"/>
      <c r="CO285" s="797"/>
      <c r="CP285" s="797"/>
      <c r="CQ285" s="797"/>
      <c r="CR285" s="797"/>
      <c r="CS285" s="797"/>
      <c r="CT285" s="797"/>
      <c r="CU285" s="797"/>
    </row>
    <row r="286" spans="1:99" x14ac:dyDescent="0.25">
      <c r="A286" s="261">
        <f>(J288+45/360)^2/100</f>
        <v>172816.88265625</v>
      </c>
      <c r="B286" s="262">
        <f>(A285+A287)/2</f>
        <v>172580.80918948847</v>
      </c>
      <c r="C286" s="263">
        <f>SUM((D286+F286+H286)/3)+((D291+F291+H291)/3)</f>
        <v>0.97969015017345851</v>
      </c>
      <c r="D286" s="264">
        <f>SUM(C285-D285)-D296-E293</f>
        <v>1</v>
      </c>
      <c r="E286" s="265">
        <v>2</v>
      </c>
      <c r="F286" s="266">
        <f>SUM(E285-F285)-D296-E294</f>
        <v>0.65620758026489057</v>
      </c>
      <c r="G286" s="267">
        <f>SUM(H292+H294)/2</f>
        <v>172302.1891872019</v>
      </c>
      <c r="H286" s="268">
        <f>SUM(G285-H285)-D296-E295</f>
        <v>0.22400012551224791</v>
      </c>
      <c r="I286" s="256">
        <f>SUM((D288+F288+H288)^0.5)*10000</f>
        <v>10290.10565904567</v>
      </c>
      <c r="J286" s="256">
        <f>INT(I286/3)</f>
        <v>3430</v>
      </c>
      <c r="K286" s="256">
        <f>J286/10000</f>
        <v>0.34300000000000003</v>
      </c>
      <c r="L286" s="257"/>
      <c r="M286" s="257"/>
      <c r="N286" s="257"/>
      <c r="O286" s="257"/>
      <c r="P286" s="257"/>
      <c r="Q286" s="257"/>
      <c r="R286" s="257"/>
      <c r="S286" s="151"/>
      <c r="T286" s="152"/>
      <c r="U286" s="154"/>
      <c r="V286" s="154"/>
      <c r="W286" s="154"/>
      <c r="X286" s="154"/>
      <c r="Y286" s="149"/>
      <c r="Z286" s="149"/>
      <c r="AA286" s="149"/>
      <c r="AB286" s="149"/>
      <c r="AC286" s="149"/>
      <c r="AD286" s="149"/>
      <c r="AE286" s="149"/>
      <c r="AF286" s="149"/>
      <c r="AG286" s="149"/>
      <c r="AH286" s="149"/>
      <c r="AI286" s="149"/>
      <c r="AJ286" s="149"/>
      <c r="AK286" s="150"/>
      <c r="AL286" s="151"/>
      <c r="AM286" s="602">
        <f>(AV288+45/360)^2/100</f>
        <v>138989.16015625</v>
      </c>
      <c r="AN286" s="603">
        <f>(AM285+AM287)/2</f>
        <v>139143.84837069223</v>
      </c>
      <c r="AO286" s="604">
        <f>SUM((AP286+AR286+AT286)/3)+((AP291+AR291+AT291)/3)</f>
        <v>1.4025509407365462</v>
      </c>
      <c r="AP286" s="605">
        <f>SUM(AO285-AP285)-AP296-AQ293</f>
        <v>1</v>
      </c>
      <c r="AQ286" s="606">
        <v>2</v>
      </c>
      <c r="AR286" s="607">
        <f>SUM(AQ285-AR285)-AP296-AQ294</f>
        <v>0.65244885787251405</v>
      </c>
      <c r="AS286" s="608">
        <f>SUM(AT292+AT294)/2</f>
        <v>137494.61194709322</v>
      </c>
      <c r="AT286" s="605">
        <f>SUM(AS285-AT285)-AP296-AQ295</f>
        <v>0.75559880147920921</v>
      </c>
      <c r="AU286" s="598">
        <f>SUM((AP288+AR288+AT288)^0.5)*10000</f>
        <v>13414.936313147056</v>
      </c>
      <c r="AV286" s="598">
        <f>INT(AU286/3)</f>
        <v>4471</v>
      </c>
      <c r="AW286" s="598">
        <f>AV286/10000</f>
        <v>0.4471</v>
      </c>
      <c r="AX286" s="599"/>
      <c r="AY286" s="599"/>
      <c r="AZ286" s="599"/>
      <c r="BA286" s="599"/>
      <c r="BB286" s="599"/>
      <c r="BC286" s="599"/>
      <c r="BD286" s="599"/>
      <c r="BE286" s="502"/>
      <c r="BF286" s="503"/>
      <c r="BG286" s="505"/>
      <c r="BH286" s="505"/>
      <c r="BI286" s="505"/>
      <c r="BJ286" s="505"/>
      <c r="BK286" s="500"/>
      <c r="BL286" s="500"/>
      <c r="BM286" s="500"/>
      <c r="BN286" s="500"/>
      <c r="BO286" s="500"/>
      <c r="BP286" s="500"/>
      <c r="BQ286" s="500"/>
      <c r="BR286" s="500"/>
      <c r="BS286" s="500"/>
      <c r="BT286" s="500"/>
      <c r="BU286" s="500"/>
      <c r="BV286" s="500"/>
      <c r="BW286" s="501"/>
      <c r="BX286" s="502"/>
      <c r="BY286" s="797"/>
      <c r="BZ286" s="797"/>
      <c r="CA286" s="797"/>
      <c r="CB286" s="797"/>
      <c r="CC286" s="797"/>
      <c r="CD286" s="797"/>
      <c r="CE286" s="797"/>
      <c r="CF286" s="797"/>
      <c r="CG286" s="797"/>
      <c r="CH286" s="797"/>
      <c r="CI286" s="797"/>
      <c r="CJ286" s="797"/>
      <c r="CK286" s="797"/>
      <c r="CL286" s="797"/>
      <c r="CM286" s="797"/>
      <c r="CN286" s="797"/>
      <c r="CO286" s="797"/>
      <c r="CP286" s="797"/>
      <c r="CQ286" s="797"/>
      <c r="CR286" s="797"/>
      <c r="CS286" s="797"/>
      <c r="CT286" s="797"/>
      <c r="CU286" s="797"/>
    </row>
    <row r="287" spans="1:99" ht="15.75" thickBot="1" x14ac:dyDescent="0.3">
      <c r="A287" s="263">
        <f>(A294+K289)/2</f>
        <v>172377.74793555564</v>
      </c>
      <c r="B287" s="263">
        <f>SUM((A294-A296)+A293)/2</f>
        <v>172547.02456652239</v>
      </c>
      <c r="C287" s="263">
        <f>SUM(D292+D294)/2</f>
        <v>172499.11298135834</v>
      </c>
      <c r="D287" s="269">
        <f>SUM(C285+D285)/2</f>
        <v>172499</v>
      </c>
      <c r="E287" s="269">
        <f>SUM(D293+D295)/2</f>
        <v>172499.06014380834</v>
      </c>
      <c r="F287" s="269">
        <f>SUM(E285+F285)/2</f>
        <v>172355.36886383028</v>
      </c>
      <c r="G287" s="267">
        <f>SUM(H293+H295)/2</f>
        <v>172302.07781659561</v>
      </c>
      <c r="H287" s="267">
        <f>SUM(G285+H285)/2</f>
        <v>172302.10159368726</v>
      </c>
      <c r="I287" s="256">
        <f>K286*K285</f>
        <v>5.2250333333333336E-2</v>
      </c>
      <c r="J287" s="256"/>
      <c r="K287" s="256"/>
      <c r="L287" s="257"/>
      <c r="M287" s="257"/>
      <c r="N287" s="257"/>
      <c r="O287" s="257"/>
      <c r="P287" s="257"/>
      <c r="Q287" s="257"/>
      <c r="R287" s="257"/>
      <c r="S287" s="151"/>
      <c r="T287" s="163"/>
      <c r="U287" s="154"/>
      <c r="V287" s="164"/>
      <c r="W287" s="154"/>
      <c r="X287" s="163"/>
      <c r="Y287" s="165"/>
      <c r="Z287" s="161"/>
      <c r="AA287" s="152"/>
      <c r="AB287" s="161"/>
      <c r="AC287" s="161"/>
      <c r="AD287" s="161"/>
      <c r="AE287" s="161"/>
      <c r="AF287" s="161"/>
      <c r="AG287" s="161"/>
      <c r="AH287" s="161"/>
      <c r="AI287" s="161"/>
      <c r="AJ287" s="162"/>
      <c r="AK287" s="150"/>
      <c r="AL287" s="151"/>
      <c r="AM287" s="604">
        <f>(AM294+AW289)/2</f>
        <v>139344.8148007745</v>
      </c>
      <c r="AN287" s="604">
        <f>SUM((AM294-AM296)+AM293)/2</f>
        <v>139693.6886977934</v>
      </c>
      <c r="AO287" s="604">
        <f>SUM(AP292+AP294)/2</f>
        <v>137455.64238951349</v>
      </c>
      <c r="AP287" s="604">
        <f>SUM(AO285+AP285)/2</f>
        <v>137455.5</v>
      </c>
      <c r="AQ287" s="604">
        <f>SUM(AP293+AP295)/2</f>
        <v>137455.56765050651</v>
      </c>
      <c r="AR287" s="604">
        <f>SUM(AQ285+AR285)/2</f>
        <v>137344.17968844122</v>
      </c>
      <c r="AS287" s="608">
        <f>SUM(AT293+AT295)/2</f>
        <v>137494.32859947189</v>
      </c>
      <c r="AT287" s="608">
        <f>SUM(AS285+AT285)/2</f>
        <v>137494.3216276826</v>
      </c>
      <c r="AU287" s="598">
        <f>AW286*AW285</f>
        <v>7.7080040000000002E-2</v>
      </c>
      <c r="AV287" s="598"/>
      <c r="AW287" s="598"/>
      <c r="AX287" s="599"/>
      <c r="AY287" s="599"/>
      <c r="AZ287" s="599"/>
      <c r="BA287" s="599"/>
      <c r="BB287" s="599"/>
      <c r="BC287" s="599"/>
      <c r="BD287" s="599"/>
      <c r="BE287" s="502"/>
      <c r="BF287" s="514"/>
      <c r="BG287" s="505"/>
      <c r="BH287" s="515"/>
      <c r="BI287" s="505"/>
      <c r="BJ287" s="514"/>
      <c r="BK287" s="516"/>
      <c r="BL287" s="512"/>
      <c r="BM287" s="503"/>
      <c r="BN287" s="512"/>
      <c r="BO287" s="512"/>
      <c r="BP287" s="512"/>
      <c r="BQ287" s="512"/>
      <c r="BR287" s="512"/>
      <c r="BS287" s="512"/>
      <c r="BT287" s="512"/>
      <c r="BU287" s="512"/>
      <c r="BV287" s="513"/>
      <c r="BW287" s="501"/>
      <c r="BX287" s="502"/>
      <c r="BY287" s="797"/>
      <c r="BZ287" s="797"/>
      <c r="CA287" s="797"/>
      <c r="CB287" s="797"/>
      <c r="CC287" s="797"/>
      <c r="CD287" s="797"/>
      <c r="CE287" s="797"/>
      <c r="CF287" s="797"/>
      <c r="CG287" s="797"/>
      <c r="CH287" s="797"/>
      <c r="CI287" s="797"/>
      <c r="CJ287" s="797"/>
      <c r="CK287" s="797"/>
      <c r="CL287" s="797"/>
      <c r="CM287" s="797"/>
      <c r="CN287" s="797"/>
      <c r="CO287" s="797"/>
      <c r="CP287" s="797"/>
      <c r="CQ287" s="797"/>
      <c r="CR287" s="797"/>
      <c r="CS287" s="797"/>
      <c r="CT287" s="797"/>
      <c r="CU287" s="797"/>
    </row>
    <row r="288" spans="1:99" ht="15.75" thickBot="1" x14ac:dyDescent="0.3">
      <c r="A288" s="270">
        <f>(B285+A294+B287)/3</f>
        <v>172478.68196771436</v>
      </c>
      <c r="B288" s="750">
        <f>SUM((A294+A296))</f>
        <v>172598.9452975333</v>
      </c>
      <c r="C288" s="263">
        <f>SUM(C287+E288+G286+F302)/4</f>
        <v>172346.39602896781</v>
      </c>
      <c r="D288" s="271">
        <f>SUM((((D287*0.6)-2)/-2)-D297-E296)</f>
        <v>0.30000000000291038</v>
      </c>
      <c r="E288" s="265">
        <f>SUM(F294+F292)/2</f>
        <v>172355.48949867566</v>
      </c>
      <c r="F288" s="271">
        <f>SUM((((F287*0.6)-2)/-2)-D297-E297)</f>
        <v>0.38934085091750603</v>
      </c>
      <c r="G288" s="272">
        <f>(G290+G289+A293)/3</f>
        <v>172280.28111672311</v>
      </c>
      <c r="H288" s="271">
        <f>SUM((((H287*0.6)-2)/-2)-D297-E298)</f>
        <v>0.36952189382282086</v>
      </c>
      <c r="I288" s="256">
        <f>((A293*100))^0.5</f>
        <v>4156.6485057177433</v>
      </c>
      <c r="J288" s="273">
        <f>INT(I288)+J299</f>
        <v>4157</v>
      </c>
      <c r="K288" s="256">
        <f>((J288)+45/360)^2/100</f>
        <v>172816.88265625</v>
      </c>
      <c r="L288" s="257"/>
      <c r="M288" s="257"/>
      <c r="N288" s="257"/>
      <c r="O288" s="257"/>
      <c r="P288" s="257"/>
      <c r="Q288" s="257"/>
      <c r="R288" s="257"/>
      <c r="S288" s="151"/>
      <c r="T288" s="163"/>
      <c r="U288" s="163"/>
      <c r="V288" s="154"/>
      <c r="W288" s="154"/>
      <c r="X288" s="173"/>
      <c r="Y288" s="174"/>
      <c r="Z288" s="161"/>
      <c r="AA288" s="161"/>
      <c r="AB288" s="161"/>
      <c r="AC288" s="161"/>
      <c r="AD288" s="161"/>
      <c r="AE288" s="161"/>
      <c r="AF288" s="161"/>
      <c r="AG288" s="161"/>
      <c r="AH288" s="161"/>
      <c r="AI288" s="161"/>
      <c r="AJ288" s="149"/>
      <c r="AK288" s="171"/>
      <c r="AL288" s="151"/>
      <c r="AM288" s="609">
        <f>(AN285+AM294+AN287)/3</f>
        <v>139503.27534673887</v>
      </c>
      <c r="AN288" s="753">
        <f>SUM((AM294+AM296))</f>
        <v>138387.68779249321</v>
      </c>
      <c r="AO288" s="604">
        <f>SUM(AO287+AQ288+AS286+AR302)/4</f>
        <v>137413.25119927083</v>
      </c>
      <c r="AP288" s="610">
        <f>SUM((((AP287*0.6)-2)/-2)-AP297-AQ296)</f>
        <v>0.34999999999854481</v>
      </c>
      <c r="AQ288" s="606">
        <f>SUM(AR294+AR292)/2</f>
        <v>137344.47812460113</v>
      </c>
      <c r="AR288" s="610">
        <f>SUM((((AR287*0.6)-2)/-2)-AP297-AQ297)</f>
        <v>0.74609346763463691</v>
      </c>
      <c r="AS288" s="611">
        <f>(AS290+AS289+AM293)/3</f>
        <v>137474.31257337576</v>
      </c>
      <c r="AT288" s="610">
        <f>SUM((((AT287*0.6)-2)/-2)-AP297-AQ298)</f>
        <v>0.70351169522473356</v>
      </c>
      <c r="AU288" s="598">
        <f>((AM293*100))^0.5</f>
        <v>3727.3801294941995</v>
      </c>
      <c r="AV288" s="612">
        <f>INT(AU288)+AV299</f>
        <v>3728</v>
      </c>
      <c r="AW288" s="598">
        <f>((AV288)+45/360)^2/100</f>
        <v>138989.16015625</v>
      </c>
      <c r="AX288" s="599"/>
      <c r="AY288" s="599"/>
      <c r="AZ288" s="599"/>
      <c r="BA288" s="599"/>
      <c r="BB288" s="599"/>
      <c r="BC288" s="599"/>
      <c r="BD288" s="599"/>
      <c r="BE288" s="502"/>
      <c r="BF288" s="514"/>
      <c r="BG288" s="514"/>
      <c r="BH288" s="505"/>
      <c r="BI288" s="505"/>
      <c r="BJ288" s="523"/>
      <c r="BK288" s="524"/>
      <c r="BL288" s="512"/>
      <c r="BM288" s="512"/>
      <c r="BN288" s="512"/>
      <c r="BO288" s="512"/>
      <c r="BP288" s="512"/>
      <c r="BQ288" s="512"/>
      <c r="BR288" s="512"/>
      <c r="BS288" s="512"/>
      <c r="BT288" s="512"/>
      <c r="BU288" s="512"/>
      <c r="BV288" s="500"/>
      <c r="BW288" s="502"/>
      <c r="BX288" s="502"/>
      <c r="BY288" s="797"/>
      <c r="BZ288" s="797"/>
      <c r="CA288" s="797"/>
      <c r="CB288" s="797"/>
      <c r="CC288" s="797"/>
      <c r="CD288" s="797"/>
      <c r="CE288" s="797"/>
      <c r="CF288" s="797"/>
      <c r="CG288" s="797"/>
      <c r="CH288" s="797"/>
      <c r="CI288" s="797"/>
      <c r="CJ288" s="797"/>
      <c r="CK288" s="797"/>
      <c r="CL288" s="797"/>
      <c r="CM288" s="797"/>
      <c r="CN288" s="797"/>
      <c r="CO288" s="797"/>
      <c r="CP288" s="797"/>
      <c r="CQ288" s="797"/>
      <c r="CR288" s="797"/>
      <c r="CS288" s="797"/>
      <c r="CT288" s="797"/>
      <c r="CU288" s="797"/>
    </row>
    <row r="289" spans="1:99" x14ac:dyDescent="0.25">
      <c r="A289" s="263">
        <f>SUM((C289-B295)/2+C295/2+A290)</f>
        <v>172346.46858589919</v>
      </c>
      <c r="B289" s="263">
        <f>SUM(C294-C295)</f>
        <v>-8.2890697871334851E-2</v>
      </c>
      <c r="C289" s="263">
        <f>SUM(E287+E289+H287+F301)/4</f>
        <v>172346.43747431674</v>
      </c>
      <c r="D289" s="274">
        <f>SUM(((D288*D286)+I287)/2)</f>
        <v>0.17612516666812186</v>
      </c>
      <c r="E289" s="274">
        <f>SUM(F293+F295)/2</f>
        <v>172355.39820495187</v>
      </c>
      <c r="F289" s="274">
        <f>SUM(((F288*F286)+I287)/2)</f>
        <v>0.15386937550609173</v>
      </c>
      <c r="G289" s="275">
        <f>(F323)</f>
        <v>171648.82721061513</v>
      </c>
      <c r="H289" s="276">
        <f>SUM(((H288*H286)+I287)/2)</f>
        <v>6.7511641964584382E-2</v>
      </c>
      <c r="I289" s="256">
        <f>(A294*100)^0.5</f>
        <v>4152.8046331950327</v>
      </c>
      <c r="J289" s="256">
        <f>INT(I289)-J299</f>
        <v>4151</v>
      </c>
      <c r="K289" s="256">
        <f>(J289-45/360)^2/100</f>
        <v>172297.63265625</v>
      </c>
      <c r="L289" s="257"/>
      <c r="M289" s="257"/>
      <c r="N289" s="257"/>
      <c r="O289" s="257"/>
      <c r="P289" s="257"/>
      <c r="Q289" s="257"/>
      <c r="R289" s="257"/>
      <c r="S289" s="151"/>
      <c r="T289" s="277"/>
      <c r="U289" s="154"/>
      <c r="V289" s="154"/>
      <c r="W289" s="154"/>
      <c r="X289" s="163"/>
      <c r="Y289" s="174"/>
      <c r="Z289" s="161"/>
      <c r="AA289" s="152"/>
      <c r="AB289" s="161"/>
      <c r="AC289" s="161"/>
      <c r="AD289" s="161"/>
      <c r="AE289" s="161"/>
      <c r="AF289" s="161"/>
      <c r="AG289" s="161"/>
      <c r="AH289" s="161"/>
      <c r="AI289" s="152"/>
      <c r="AJ289" s="162"/>
      <c r="AK289" s="150"/>
      <c r="AL289" s="151"/>
      <c r="AM289" s="604">
        <f>SUM((AO289-AN295)/2+AO295/2+AM290)</f>
        <v>137413.30037938367</v>
      </c>
      <c r="AN289" s="604">
        <f>SUM(AO294-AO295)</f>
        <v>-5.6171267904574051E-2</v>
      </c>
      <c r="AO289" s="604">
        <f>SUM(AQ287+AQ289+AT287+AR301)/4</f>
        <v>137413.27928490477</v>
      </c>
      <c r="AP289" s="613">
        <f>SUM(((AP288*AP286)+AU287)/2)</f>
        <v>0.21354001999927241</v>
      </c>
      <c r="AQ289" s="613">
        <f>SUM(AR293+AR295)/2</f>
        <v>137344.15572528203</v>
      </c>
      <c r="AR289" s="613">
        <f>SUM(((AR288*AR286)+AU287)/2)</f>
        <v>0.2819339354121812</v>
      </c>
      <c r="AS289" s="614">
        <f>(AR323)</f>
        <v>135901.46951140696</v>
      </c>
      <c r="AT289" s="615">
        <f>SUM(((AT288*AT286)+AU287)/2)</f>
        <v>0.30432631686920769</v>
      </c>
      <c r="AU289" s="598">
        <f>(AM294*100)^0.5</f>
        <v>3733.9084006614171</v>
      </c>
      <c r="AV289" s="598">
        <f>INT(AU289)-AV299</f>
        <v>3732</v>
      </c>
      <c r="AW289" s="598">
        <f>(AV289-45/360)^2/100</f>
        <v>139268.91015625</v>
      </c>
      <c r="AX289" s="599"/>
      <c r="AY289" s="599"/>
      <c r="AZ289" s="599"/>
      <c r="BA289" s="599"/>
      <c r="BB289" s="599"/>
      <c r="BC289" s="599"/>
      <c r="BD289" s="599"/>
      <c r="BE289" s="502"/>
      <c r="BF289" s="616"/>
      <c r="BG289" s="505"/>
      <c r="BH289" s="505"/>
      <c r="BI289" s="505"/>
      <c r="BJ289" s="514"/>
      <c r="BK289" s="524"/>
      <c r="BL289" s="512"/>
      <c r="BM289" s="503"/>
      <c r="BN289" s="512"/>
      <c r="BO289" s="512"/>
      <c r="BP289" s="512"/>
      <c r="BQ289" s="512"/>
      <c r="BR289" s="512"/>
      <c r="BS289" s="512"/>
      <c r="BT289" s="512"/>
      <c r="BU289" s="503"/>
      <c r="BV289" s="513"/>
      <c r="BW289" s="501"/>
      <c r="BX289" s="502"/>
      <c r="BY289" s="797"/>
      <c r="BZ289" s="797"/>
      <c r="CA289" s="797"/>
      <c r="CB289" s="797"/>
      <c r="CC289" s="797"/>
      <c r="CD289" s="797"/>
      <c r="CE289" s="797"/>
      <c r="CF289" s="797"/>
      <c r="CG289" s="797"/>
      <c r="CH289" s="797"/>
      <c r="CI289" s="797"/>
      <c r="CJ289" s="797"/>
      <c r="CK289" s="797"/>
      <c r="CL289" s="797"/>
      <c r="CM289" s="797"/>
      <c r="CN289" s="797"/>
      <c r="CO289" s="797"/>
      <c r="CP289" s="797"/>
      <c r="CQ289" s="797"/>
      <c r="CR289" s="797"/>
      <c r="CS289" s="797"/>
      <c r="CT289" s="797"/>
      <c r="CU289" s="797"/>
    </row>
    <row r="290" spans="1:99" ht="15.75" thickBot="1" x14ac:dyDescent="0.3">
      <c r="A290" s="263">
        <f>SUM(((A298+B295)/2)*(B293/(C288*C289)))*3.33</f>
        <v>2.7568263408149067E-5</v>
      </c>
      <c r="B290" s="263">
        <f>SUM(C294-B298)</f>
        <v>172346.16071644475</v>
      </c>
      <c r="C290" s="278">
        <f>SUM(((C288-C289)-2)/2+C291)</f>
        <v>-1.0207226744678337</v>
      </c>
      <c r="D290" s="269">
        <f>SUM(D289*D288)/D286</f>
        <v>5.2837550000949147E-2</v>
      </c>
      <c r="E290" s="279">
        <v>-750</v>
      </c>
      <c r="F290" s="269">
        <f>SUM(F289*F288)/F286</f>
        <v>9.1293723802312932E-2</v>
      </c>
      <c r="G290" s="280">
        <f>N294</f>
        <v>172414.74813869863</v>
      </c>
      <c r="H290" s="267">
        <f>SUM(H289*H288)/H286</f>
        <v>0.11137060631904597</v>
      </c>
      <c r="I290" s="256">
        <f>(A293+B292)/2</f>
        <v>172561.85273758613</v>
      </c>
      <c r="J290" s="256"/>
      <c r="K290" s="256"/>
      <c r="L290" s="257"/>
      <c r="M290" s="257"/>
      <c r="N290" s="257"/>
      <c r="O290" s="257"/>
      <c r="P290" s="257"/>
      <c r="Q290" s="257"/>
      <c r="R290" s="257"/>
      <c r="S290" s="151"/>
      <c r="T290" s="277"/>
      <c r="U290" s="154"/>
      <c r="V290" s="163"/>
      <c r="W290" s="154"/>
      <c r="X290" s="154"/>
      <c r="Y290" s="161"/>
      <c r="Z290" s="161"/>
      <c r="AA290" s="161"/>
      <c r="AB290" s="161"/>
      <c r="AC290" s="161"/>
      <c r="AD290" s="161"/>
      <c r="AE290" s="161"/>
      <c r="AF290" s="161"/>
      <c r="AG290" s="154"/>
      <c r="AH290" s="152"/>
      <c r="AI290" s="152"/>
      <c r="AJ290" s="162"/>
      <c r="AK290" s="171"/>
      <c r="AL290" s="151"/>
      <c r="AM290" s="604">
        <f>SUM(((AM298+AN295)/2)*(AN293/(AO288*AO289)))*3.33</f>
        <v>3.0252008078291573E-5</v>
      </c>
      <c r="AN290" s="604">
        <f>SUM(AO294-AN298)</f>
        <v>137413.02933451641</v>
      </c>
      <c r="AO290" s="613">
        <f>SUM(((AO288-AO289)-2)/2+AO291)</f>
        <v>-1.0140428169688676</v>
      </c>
      <c r="AP290" s="604">
        <f>SUM(AP289*AP288)/AP286</f>
        <v>7.4739006999434601E-2</v>
      </c>
      <c r="AQ290" s="617">
        <v>-1033.0319999999999</v>
      </c>
      <c r="AR290" s="604">
        <f>SUM(AR289*AR288)/AR286</f>
        <v>0.32239931908449354</v>
      </c>
      <c r="AS290" s="618">
        <f>AZ294</f>
        <v>137587.84191123833</v>
      </c>
      <c r="AT290" s="608">
        <f>SUM(AT289*AT288)/AT286</f>
        <v>0.28334762133426539</v>
      </c>
      <c r="AU290" s="598">
        <f>(AM293+AN292)/2</f>
        <v>138173.45279119338</v>
      </c>
      <c r="AV290" s="598"/>
      <c r="AW290" s="598"/>
      <c r="AX290" s="599"/>
      <c r="AY290" s="599"/>
      <c r="AZ290" s="599"/>
      <c r="BA290" s="599"/>
      <c r="BB290" s="599"/>
      <c r="BC290" s="599"/>
      <c r="BD290" s="599"/>
      <c r="BE290" s="502"/>
      <c r="BF290" s="616"/>
      <c r="BG290" s="505"/>
      <c r="BH290" s="514"/>
      <c r="BI290" s="505"/>
      <c r="BJ290" s="505"/>
      <c r="BK290" s="512"/>
      <c r="BL290" s="512"/>
      <c r="BM290" s="512"/>
      <c r="BN290" s="512"/>
      <c r="BO290" s="512"/>
      <c r="BP290" s="512"/>
      <c r="BQ290" s="512"/>
      <c r="BR290" s="512"/>
      <c r="BS290" s="505"/>
      <c r="BT290" s="503"/>
      <c r="BU290" s="503"/>
      <c r="BV290" s="513"/>
      <c r="BW290" s="502"/>
      <c r="BX290" s="502"/>
      <c r="BY290" s="797"/>
      <c r="BZ290" s="797"/>
      <c r="CA290" s="797"/>
      <c r="CB290" s="797"/>
      <c r="CC290" s="797"/>
      <c r="CD290" s="797"/>
      <c r="CE290" s="797"/>
      <c r="CF290" s="797"/>
      <c r="CG290" s="797"/>
      <c r="CH290" s="797"/>
      <c r="CI290" s="797"/>
      <c r="CJ290" s="797"/>
      <c r="CK290" s="797"/>
      <c r="CL290" s="797"/>
      <c r="CM290" s="797"/>
      <c r="CN290" s="797"/>
      <c r="CO290" s="797"/>
      <c r="CP290" s="797"/>
      <c r="CQ290" s="797"/>
      <c r="CR290" s="797"/>
      <c r="CS290" s="797"/>
      <c r="CT290" s="797"/>
      <c r="CU290" s="797"/>
    </row>
    <row r="291" spans="1:99" ht="15.75" thickBot="1" x14ac:dyDescent="0.3">
      <c r="A291" s="263">
        <f>SUM(A293+A294+A292)/3+A295*-1</f>
        <v>172527.19991916339</v>
      </c>
      <c r="B291" s="263">
        <f>SUM(C295+B298)</f>
        <v>172346.67278684975</v>
      </c>
      <c r="C291" s="263">
        <f>SUM(E299)</f>
        <v>0</v>
      </c>
      <c r="D291" s="269">
        <f>SUM(D288)</f>
        <v>0.30000000000291038</v>
      </c>
      <c r="E291" s="281">
        <f>K255</f>
        <v>-51492</v>
      </c>
      <c r="F291" s="269">
        <f>SUM(F288)</f>
        <v>0.38934085091750603</v>
      </c>
      <c r="G291" s="282">
        <f>SUM((C285+E285+G285+G292)/4+(D285+F285+H285+H301)/4)/2*G296</f>
        <v>172728.17893029228</v>
      </c>
      <c r="H291" s="267">
        <f>SUM(H288)</f>
        <v>0.36952189382282086</v>
      </c>
      <c r="I291" s="256">
        <f>(A294+B296)/2</f>
        <v>167872.08471255808</v>
      </c>
      <c r="J291" s="256"/>
      <c r="K291" s="283">
        <f>H297</f>
        <v>45</v>
      </c>
      <c r="L291" s="257"/>
      <c r="M291" s="257"/>
      <c r="N291" s="257"/>
      <c r="O291" s="257"/>
      <c r="P291" s="257"/>
      <c r="Q291" s="257"/>
      <c r="R291" s="257"/>
      <c r="S291" s="151"/>
      <c r="T291" s="277"/>
      <c r="U291" s="154"/>
      <c r="V291" s="154"/>
      <c r="W291" s="154"/>
      <c r="X291" s="154"/>
      <c r="Y291" s="161"/>
      <c r="Z291" s="161"/>
      <c r="AA291" s="161"/>
      <c r="AB291" s="161"/>
      <c r="AC291" s="161"/>
      <c r="AD291" s="161"/>
      <c r="AE291" s="161"/>
      <c r="AF291" s="161"/>
      <c r="AG291" s="161"/>
      <c r="AH291" s="152"/>
      <c r="AI291" s="152"/>
      <c r="AJ291" s="174"/>
      <c r="AK291" s="171"/>
      <c r="AL291" s="151"/>
      <c r="AM291" s="604">
        <f>SUM(AM293+AM294+AM292)/3+AM295*-1</f>
        <v>138589.21535791442</v>
      </c>
      <c r="AN291" s="604">
        <f>SUM(AO295+AN298)</f>
        <v>137413.50114966492</v>
      </c>
      <c r="AO291" s="604">
        <f>SUM(AQ299)</f>
        <v>0</v>
      </c>
      <c r="AP291" s="604">
        <f>SUM(AP288)</f>
        <v>0.34999999999854481</v>
      </c>
      <c r="AQ291" s="619">
        <f>AW255</f>
        <v>-41211</v>
      </c>
      <c r="AR291" s="604">
        <f>SUM(AR288)</f>
        <v>0.74609346763463691</v>
      </c>
      <c r="AS291" s="620">
        <f>SUM((AO285+AQ285+AS285+AS292)/4+(AP285+AR285+AT285+AT301)/4)/2*AS296</f>
        <v>137590.20119535582</v>
      </c>
      <c r="AT291" s="608">
        <f>SUM(AT288)</f>
        <v>0.70351169522473356</v>
      </c>
      <c r="AU291" s="598">
        <f>(AM294+AN296)/2</f>
        <v>122816.29100799463</v>
      </c>
      <c r="AV291" s="598"/>
      <c r="AW291" s="621">
        <f>AT297</f>
        <v>45</v>
      </c>
      <c r="AX291" s="599"/>
      <c r="AY291" s="599"/>
      <c r="AZ291" s="599"/>
      <c r="BA291" s="599"/>
      <c r="BB291" s="599"/>
      <c r="BC291" s="599"/>
      <c r="BD291" s="599"/>
      <c r="BE291" s="502"/>
      <c r="BF291" s="616"/>
      <c r="BG291" s="505"/>
      <c r="BH291" s="505"/>
      <c r="BI291" s="505"/>
      <c r="BJ291" s="505"/>
      <c r="BK291" s="512"/>
      <c r="BL291" s="512"/>
      <c r="BM291" s="512"/>
      <c r="BN291" s="512"/>
      <c r="BO291" s="512"/>
      <c r="BP291" s="512"/>
      <c r="BQ291" s="512"/>
      <c r="BR291" s="512"/>
      <c r="BS291" s="512"/>
      <c r="BT291" s="503"/>
      <c r="BU291" s="503"/>
      <c r="BV291" s="524"/>
      <c r="BW291" s="502"/>
      <c r="BX291" s="502"/>
      <c r="BY291" s="797"/>
      <c r="BZ291" s="797"/>
      <c r="CA291" s="797"/>
      <c r="CB291" s="797"/>
      <c r="CC291" s="797"/>
      <c r="CD291" s="797"/>
      <c r="CE291" s="797"/>
      <c r="CF291" s="797"/>
      <c r="CG291" s="797"/>
      <c r="CH291" s="797"/>
      <c r="CI291" s="797"/>
      <c r="CJ291" s="797"/>
      <c r="CK291" s="797"/>
      <c r="CL291" s="797"/>
      <c r="CM291" s="797"/>
      <c r="CN291" s="797"/>
      <c r="CO291" s="797"/>
      <c r="CP291" s="797"/>
      <c r="CQ291" s="797"/>
      <c r="CR291" s="797"/>
      <c r="CS291" s="797"/>
      <c r="CT291" s="797"/>
      <c r="CU291" s="797"/>
    </row>
    <row r="292" spans="1:99" ht="15.75" thickBot="1" x14ac:dyDescent="0.3">
      <c r="A292" s="284">
        <f>SUM((C289-B295)/2+C295/2+A295)</f>
        <v>172346.46856660969</v>
      </c>
      <c r="B292" s="263">
        <f>SUM(C288-B295)</f>
        <v>172346.43747431674</v>
      </c>
      <c r="C292" s="263">
        <f>SUM((D290+F290+H290+M295)*C290)/4</f>
        <v>-8.8280249091107224E-2</v>
      </c>
      <c r="D292" s="269">
        <f>SUM(C285+D289)</f>
        <v>172693.17612516668</v>
      </c>
      <c r="E292" s="285">
        <f>I255</f>
        <v>1349</v>
      </c>
      <c r="F292" s="269">
        <f>SUM(E285+F289)</f>
        <v>172611.3508369959</v>
      </c>
      <c r="G292" s="282">
        <f>SUM(H301/G293)*G294</f>
        <v>172659.64074138875</v>
      </c>
      <c r="H292" s="286">
        <f>SUM(G285+H289)</f>
        <v>172321.78110539197</v>
      </c>
      <c r="I292" s="287">
        <f>C285^0.5</f>
        <v>415.56347288952139</v>
      </c>
      <c r="J292" s="283">
        <f>INT(I292)</f>
        <v>415</v>
      </c>
      <c r="K292" s="256">
        <f>(I292+K291/360)^2</f>
        <v>172796.90649322237</v>
      </c>
      <c r="L292" s="257"/>
      <c r="M292" s="257"/>
      <c r="N292" s="257"/>
      <c r="O292" s="257"/>
      <c r="P292" s="257"/>
      <c r="Q292" s="257"/>
      <c r="R292" s="257"/>
      <c r="S292" s="151"/>
      <c r="T292" s="163"/>
      <c r="U292" s="163"/>
      <c r="V292" s="163"/>
      <c r="W292" s="163"/>
      <c r="X292" s="163"/>
      <c r="Y292" s="152"/>
      <c r="Z292" s="152"/>
      <c r="AA292" s="161"/>
      <c r="AB292" s="161"/>
      <c r="AC292" s="161"/>
      <c r="AD292" s="161"/>
      <c r="AE292" s="161"/>
      <c r="AF292" s="161"/>
      <c r="AG292" s="161"/>
      <c r="AH292" s="161"/>
      <c r="AI292" s="152"/>
      <c r="AJ292" s="149"/>
      <c r="AK292" s="171"/>
      <c r="AL292" s="151"/>
      <c r="AM292" s="622">
        <f>SUM((AO289-AN295)/2+AO295/2+AM295)</f>
        <v>137413.30035821634</v>
      </c>
      <c r="AN292" s="604">
        <f>SUM(AO288-AN295)</f>
        <v>137413.27928490477</v>
      </c>
      <c r="AO292" s="604">
        <f>SUM((AP290+AR290+AT290+AY295)*AO290)/4</f>
        <v>-0.30903613148973591</v>
      </c>
      <c r="AP292" s="604">
        <f>SUM(AO285+AP289)</f>
        <v>137699.21354001999</v>
      </c>
      <c r="AQ292" s="623">
        <f>AU255</f>
        <v>647</v>
      </c>
      <c r="AR292" s="604">
        <f>SUM(AQ285+AR289)</f>
        <v>137298.78784680556</v>
      </c>
      <c r="AS292" s="620">
        <f>SUM(AT301/AS293)*AS294</f>
        <v>137558.49186198378</v>
      </c>
      <c r="AT292" s="624">
        <f>SUM(AS285+AT289)</f>
        <v>137514.5037534002</v>
      </c>
      <c r="AU292" s="625">
        <f>AO285^0.5</f>
        <v>371.07815888300405</v>
      </c>
      <c r="AV292" s="621">
        <f>INT(AU292)</f>
        <v>371</v>
      </c>
      <c r="AW292" s="598">
        <f>(AU292+AW291/360)^2</f>
        <v>137791.78516472076</v>
      </c>
      <c r="AX292" s="599"/>
      <c r="AY292" s="599"/>
      <c r="AZ292" s="599"/>
      <c r="BA292" s="599"/>
      <c r="BB292" s="599"/>
      <c r="BC292" s="599"/>
      <c r="BD292" s="599"/>
      <c r="BE292" s="502"/>
      <c r="BF292" s="514"/>
      <c r="BG292" s="514"/>
      <c r="BH292" s="514"/>
      <c r="BI292" s="514"/>
      <c r="BJ292" s="514"/>
      <c r="BK292" s="503"/>
      <c r="BL292" s="503"/>
      <c r="BM292" s="512"/>
      <c r="BN292" s="512"/>
      <c r="BO292" s="512"/>
      <c r="BP292" s="512"/>
      <c r="BQ292" s="512"/>
      <c r="BR292" s="512"/>
      <c r="BS292" s="512"/>
      <c r="BT292" s="512"/>
      <c r="BU292" s="503"/>
      <c r="BV292" s="500"/>
      <c r="BW292" s="502"/>
      <c r="BX292" s="502"/>
      <c r="BY292" s="797"/>
      <c r="BZ292" s="797"/>
      <c r="CA292" s="797"/>
      <c r="CB292" s="797"/>
      <c r="CC292" s="797"/>
      <c r="CD292" s="797"/>
      <c r="CE292" s="797"/>
      <c r="CF292" s="797"/>
      <c r="CG292" s="797"/>
      <c r="CH292" s="797"/>
      <c r="CI292" s="797"/>
      <c r="CJ292" s="797"/>
      <c r="CK292" s="797"/>
      <c r="CL292" s="797"/>
      <c r="CM292" s="797"/>
      <c r="CN292" s="797"/>
      <c r="CO292" s="797"/>
      <c r="CP292" s="797"/>
      <c r="CQ292" s="797"/>
      <c r="CR292" s="797"/>
      <c r="CS292" s="797"/>
      <c r="CT292" s="797"/>
      <c r="CU292" s="797"/>
    </row>
    <row r="293" spans="1:99" x14ac:dyDescent="0.25">
      <c r="A293" s="288">
        <f>SUM(((A294-E290)+B291))/2</f>
        <v>172777.26800085552</v>
      </c>
      <c r="B293" s="263">
        <f>SUM(C288+C289)/2^(C292*C299)/2</f>
        <v>166234.09089328357</v>
      </c>
      <c r="C293" s="278">
        <f>SUM(C292*C290)-2/2+C296</f>
        <v>0.59010965195496157</v>
      </c>
      <c r="D293" s="269">
        <f>SUM(D292-D290)</f>
        <v>172693.12328761668</v>
      </c>
      <c r="E293" s="289">
        <f>I256</f>
        <v>387</v>
      </c>
      <c r="F293" s="269">
        <f>SUM(F292-F290)</f>
        <v>172611.25954327211</v>
      </c>
      <c r="G293" s="282">
        <f>SUM(G295/G296)</f>
        <v>172190.16450791061</v>
      </c>
      <c r="H293" s="286">
        <f>SUM(H292-H290)</f>
        <v>172321.66973478565</v>
      </c>
      <c r="I293" s="283">
        <f>J292</f>
        <v>415</v>
      </c>
      <c r="J293" s="256">
        <f>(I293-K291/360)^2</f>
        <v>172121.265625</v>
      </c>
      <c r="K293" s="256">
        <f>(K292+D285)/2</f>
        <v>172550.95324661117</v>
      </c>
      <c r="L293" s="257"/>
      <c r="M293" s="257"/>
      <c r="N293" s="257"/>
      <c r="O293" s="257"/>
      <c r="P293" s="257"/>
      <c r="Q293" s="257"/>
      <c r="R293" s="257"/>
      <c r="S293" s="151"/>
      <c r="T293" s="163"/>
      <c r="U293" s="163"/>
      <c r="V293" s="154"/>
      <c r="W293" s="154"/>
      <c r="X293" s="154"/>
      <c r="Y293" s="161"/>
      <c r="Z293" s="161"/>
      <c r="AA293" s="161"/>
      <c r="AB293" s="161"/>
      <c r="AC293" s="161"/>
      <c r="AD293" s="161"/>
      <c r="AE293" s="161"/>
      <c r="AF293" s="161"/>
      <c r="AG293" s="161"/>
      <c r="AH293" s="161"/>
      <c r="AI293" s="152"/>
      <c r="AJ293" s="149"/>
      <c r="AK293" s="171"/>
      <c r="AL293" s="151"/>
      <c r="AM293" s="626">
        <f>SUM(((AM294-AQ290)+AN291))/2</f>
        <v>138933.62629748197</v>
      </c>
      <c r="AN293" s="604">
        <f>SUM(AO288+AO289)/2^(AO292*AO299)/2</f>
        <v>115441.24386574919</v>
      </c>
      <c r="AO293" s="613">
        <f>SUM(AO292*AO290)-2/2+AO296</f>
        <v>0.81337586932101313</v>
      </c>
      <c r="AP293" s="604">
        <f>SUM(AP292-AP290)</f>
        <v>137699.138801013</v>
      </c>
      <c r="AQ293" s="627">
        <f>AU256</f>
        <v>486</v>
      </c>
      <c r="AR293" s="604">
        <f>SUM(AR292-AR290)</f>
        <v>137298.46544748647</v>
      </c>
      <c r="AS293" s="620">
        <f>SUM(AS295/AS296)</f>
        <v>137340.77803430439</v>
      </c>
      <c r="AT293" s="624">
        <f>SUM(AT292-AT290)</f>
        <v>137514.22040577888</v>
      </c>
      <c r="AU293" s="621">
        <f>AV292</f>
        <v>371</v>
      </c>
      <c r="AV293" s="598">
        <f>(AU293-AW291/360)^2</f>
        <v>137548.265625</v>
      </c>
      <c r="AW293" s="598">
        <f>(AW292+AP285)/2</f>
        <v>137501.89258236036</v>
      </c>
      <c r="AX293" s="599"/>
      <c r="AY293" s="599"/>
      <c r="AZ293" s="599"/>
      <c r="BA293" s="599"/>
      <c r="BB293" s="599"/>
      <c r="BC293" s="599"/>
      <c r="BD293" s="599"/>
      <c r="BE293" s="502"/>
      <c r="BF293" s="514"/>
      <c r="BG293" s="514"/>
      <c r="BH293" s="505"/>
      <c r="BI293" s="505"/>
      <c r="BJ293" s="505"/>
      <c r="BK293" s="512"/>
      <c r="BL293" s="512"/>
      <c r="BM293" s="512"/>
      <c r="BN293" s="512"/>
      <c r="BO293" s="512"/>
      <c r="BP293" s="512"/>
      <c r="BQ293" s="512"/>
      <c r="BR293" s="512"/>
      <c r="BS293" s="512"/>
      <c r="BT293" s="512"/>
      <c r="BU293" s="503"/>
      <c r="BV293" s="500"/>
      <c r="BW293" s="502"/>
      <c r="BX293" s="502"/>
      <c r="BY293" s="797"/>
      <c r="BZ293" s="797"/>
      <c r="CA293" s="797"/>
      <c r="CB293" s="797"/>
      <c r="CC293" s="797"/>
      <c r="CD293" s="797"/>
      <c r="CE293" s="797"/>
      <c r="CF293" s="797"/>
      <c r="CG293" s="797"/>
      <c r="CH293" s="797"/>
      <c r="CI293" s="797"/>
      <c r="CJ293" s="797"/>
      <c r="CK293" s="797"/>
      <c r="CL293" s="797"/>
      <c r="CM293" s="797"/>
      <c r="CN293" s="797"/>
      <c r="CO293" s="797"/>
      <c r="CP293" s="797"/>
      <c r="CQ293" s="797"/>
      <c r="CR293" s="797"/>
      <c r="CS293" s="797"/>
      <c r="CT293" s="797"/>
      <c r="CU293" s="797"/>
    </row>
    <row r="294" spans="1:99" ht="15.75" thickBot="1" x14ac:dyDescent="0.3">
      <c r="A294" s="290">
        <f>(B297+B296+B294+B291)/4</f>
        <v>172457.86321486128</v>
      </c>
      <c r="B294" s="263">
        <f>SUM(C288+C289)/2^(C292*C293)/2</f>
        <v>178683.48909369754</v>
      </c>
      <c r="C294" s="263">
        <f>SUM(C288+C289)/2*(C288/C289)</f>
        <v>172346.37530629832</v>
      </c>
      <c r="D294" s="269">
        <f>SUM(D295+D290)</f>
        <v>172305.04983755</v>
      </c>
      <c r="E294" s="289">
        <f>I257</f>
        <v>511</v>
      </c>
      <c r="F294" s="269">
        <f>SUM(F295+F290)</f>
        <v>172099.62816035541</v>
      </c>
      <c r="G294" s="282">
        <f>SUM(H301+G297+G295)/3</f>
        <v>172503.05399017115</v>
      </c>
      <c r="H294" s="286">
        <f>SUM(H295+H290)</f>
        <v>172282.59726901187</v>
      </c>
      <c r="I294" s="256">
        <f>(D285^0.5)</f>
        <v>415.09637435178831</v>
      </c>
      <c r="J294" s="256">
        <f>INT(I294)</f>
        <v>415</v>
      </c>
      <c r="K294" s="256">
        <f>(J294+K291/360)^2</f>
        <v>172328.765625</v>
      </c>
      <c r="L294" s="291">
        <f>SUM((((L295*0.6)-2)/-2))-E291</f>
        <v>0.40000000000145519</v>
      </c>
      <c r="M294" s="292">
        <f>SUM(((L296*L294)+I287)/2)</f>
        <v>0.22612516666739427</v>
      </c>
      <c r="N294" s="293">
        <f>(B288+B314)/2</f>
        <v>172414.74813869863</v>
      </c>
      <c r="O294" s="257"/>
      <c r="P294" s="257"/>
      <c r="Q294" s="257"/>
      <c r="R294" s="257"/>
      <c r="S294" s="151"/>
      <c r="T294" s="163"/>
      <c r="U294" s="154"/>
      <c r="V294" s="154"/>
      <c r="W294" s="154"/>
      <c r="X294" s="154"/>
      <c r="Y294" s="161"/>
      <c r="Z294" s="161"/>
      <c r="AA294" s="191"/>
      <c r="AB294" s="161"/>
      <c r="AC294" s="161"/>
      <c r="AD294" s="161"/>
      <c r="AE294" s="161"/>
      <c r="AF294" s="161"/>
      <c r="AG294" s="161"/>
      <c r="AH294" s="152"/>
      <c r="AI294" s="161"/>
      <c r="AJ294" s="162"/>
      <c r="AK294" s="171"/>
      <c r="AL294" s="151"/>
      <c r="AM294" s="628">
        <f>(AN297+AN296+AN294+AN291)/4</f>
        <v>139420.71944529901</v>
      </c>
      <c r="AN294" s="604">
        <f>SUM(AO288+AO289)/2^(AO292*AO293)/2</f>
        <v>163567.23846852698</v>
      </c>
      <c r="AO294" s="604">
        <f>SUM(AO288+AO289)/2*(AO288/AO289)</f>
        <v>137413.23715645671</v>
      </c>
      <c r="AP294" s="604">
        <f>SUM(AP295+AP290)</f>
        <v>137212.071239007</v>
      </c>
      <c r="AQ294" s="627">
        <f>AU257</f>
        <v>-92</v>
      </c>
      <c r="AR294" s="604">
        <f>SUM(AR295+AR290)</f>
        <v>137390.1684023967</v>
      </c>
      <c r="AS294" s="620">
        <f>SUM(AT301+AS297+AS295)/3</f>
        <v>137485.89504399622</v>
      </c>
      <c r="AT294" s="624">
        <f>SUM(AT295+AT290)</f>
        <v>137474.72014078623</v>
      </c>
      <c r="AU294" s="598">
        <f>(AP285^0.5)</f>
        <v>370.42138167227876</v>
      </c>
      <c r="AV294" s="598">
        <f>INT(AU294)</f>
        <v>370</v>
      </c>
      <c r="AW294" s="598">
        <f>(AV294+AW291/360)^2</f>
        <v>136992.515625</v>
      </c>
      <c r="AX294" s="629">
        <f>SUM((((AX295*0.6)-2)/-2))-AQ291</f>
        <v>1</v>
      </c>
      <c r="AY294" s="598">
        <f>SUM(((AX296*AX294)+AU287)/2)</f>
        <v>0.53854002000000001</v>
      </c>
      <c r="AZ294" s="630">
        <f>(AN288+AN314)/2</f>
        <v>137587.84191123833</v>
      </c>
      <c r="BA294" s="599"/>
      <c r="BB294" s="599"/>
      <c r="BC294" s="599"/>
      <c r="BD294" s="599"/>
      <c r="BE294" s="502"/>
      <c r="BF294" s="514"/>
      <c r="BG294" s="505"/>
      <c r="BH294" s="505"/>
      <c r="BI294" s="505"/>
      <c r="BJ294" s="505"/>
      <c r="BK294" s="512"/>
      <c r="BL294" s="512"/>
      <c r="BM294" s="542"/>
      <c r="BN294" s="512"/>
      <c r="BO294" s="512"/>
      <c r="BP294" s="512"/>
      <c r="BQ294" s="512"/>
      <c r="BR294" s="512"/>
      <c r="BS294" s="512"/>
      <c r="BT294" s="503"/>
      <c r="BU294" s="512"/>
      <c r="BV294" s="513"/>
      <c r="BW294" s="502"/>
      <c r="BX294" s="502"/>
      <c r="BY294" s="797"/>
      <c r="BZ294" s="797"/>
      <c r="CA294" s="797"/>
      <c r="CB294" s="797"/>
      <c r="CC294" s="797"/>
      <c r="CD294" s="797"/>
      <c r="CE294" s="797"/>
      <c r="CF294" s="797"/>
      <c r="CG294" s="797"/>
      <c r="CH294" s="797"/>
      <c r="CI294" s="797"/>
      <c r="CJ294" s="797"/>
      <c r="CK294" s="797"/>
      <c r="CL294" s="797"/>
      <c r="CM294" s="797"/>
      <c r="CN294" s="797"/>
      <c r="CO294" s="797"/>
      <c r="CP294" s="797"/>
      <c r="CQ294" s="797"/>
      <c r="CR294" s="797"/>
      <c r="CS294" s="797"/>
      <c r="CT294" s="797"/>
      <c r="CU294" s="797"/>
    </row>
    <row r="295" spans="1:99" ht="15.75" thickBot="1" x14ac:dyDescent="0.3">
      <c r="A295" s="294">
        <f>SUM(((A298+B295)/2)*(B293/(C288*C289)))</f>
        <v>8.2787577802249448E-6</v>
      </c>
      <c r="B295" s="263">
        <f>SUM(C288-C289)</f>
        <v>-4.1445348935667425E-2</v>
      </c>
      <c r="C295" s="263">
        <f>SUM(C289+C288)/2*(C289/C288)</f>
        <v>172346.45819699619</v>
      </c>
      <c r="D295" s="269">
        <f>SUM(D285-(D291/100))</f>
        <v>172304.997</v>
      </c>
      <c r="E295" s="289">
        <f>I258</f>
        <v>39</v>
      </c>
      <c r="F295" s="269">
        <f>SUM(F285-(F291/100))</f>
        <v>172099.53686663162</v>
      </c>
      <c r="G295" s="282">
        <f>SUM(H301+G297)/2</f>
        <v>172503.05399017115</v>
      </c>
      <c r="H295" s="286">
        <f>SUM(H285-H291/100)</f>
        <v>172282.48589840555</v>
      </c>
      <c r="I295" s="295">
        <f>J294</f>
        <v>415</v>
      </c>
      <c r="J295" s="256">
        <f>(I295+K291/360)^2</f>
        <v>172328.765625</v>
      </c>
      <c r="K295" s="256">
        <f>(K293+K294+C285)/3</f>
        <v>172524.23962387038</v>
      </c>
      <c r="L295" s="292">
        <f>((J296+K296)/2)</f>
        <v>171642</v>
      </c>
      <c r="M295" s="292">
        <f>(M294*L294)/L296</f>
        <v>9.0450066667286763E-2</v>
      </c>
      <c r="N295" s="257"/>
      <c r="O295" s="257"/>
      <c r="P295" s="257"/>
      <c r="Q295" s="257"/>
      <c r="R295" s="257"/>
      <c r="S295" s="151"/>
      <c r="T295" s="163"/>
      <c r="U295" s="154"/>
      <c r="V295" s="154"/>
      <c r="W295" s="163"/>
      <c r="X295" s="163"/>
      <c r="Y295" s="191"/>
      <c r="Z295" s="191"/>
      <c r="AA295" s="191"/>
      <c r="AB295" s="191"/>
      <c r="AC295" s="191"/>
      <c r="AD295" s="191"/>
      <c r="AE295" s="191"/>
      <c r="AF295" s="191"/>
      <c r="AG295" s="191"/>
      <c r="AH295" s="152"/>
      <c r="AI295" s="152"/>
      <c r="AJ295" s="149"/>
      <c r="AK295" s="171"/>
      <c r="AL295" s="151"/>
      <c r="AM295" s="631">
        <f>SUM(((AM298+AN295)/2)*(AN293/(AO288*AO289)))</f>
        <v>9.0846871105980701E-6</v>
      </c>
      <c r="AN295" s="604">
        <f>SUM(AO288-AO289)</f>
        <v>-2.8085633937735111E-2</v>
      </c>
      <c r="AO295" s="604">
        <f>SUM(AO289+AO288)/2*(AO289/AO288)</f>
        <v>137413.29332772462</v>
      </c>
      <c r="AP295" s="604">
        <f>SUM(AP285-(AP291/100))</f>
        <v>137211.99650000001</v>
      </c>
      <c r="AQ295" s="627">
        <f>AU258</f>
        <v>39</v>
      </c>
      <c r="AR295" s="604">
        <f>SUM(AR285-(AR291/100))</f>
        <v>137389.8460030776</v>
      </c>
      <c r="AS295" s="620">
        <f>SUM(AT301+AS297)/2</f>
        <v>137485.89504399622</v>
      </c>
      <c r="AT295" s="624">
        <f>SUM(AT285-AT291/100)</f>
        <v>137474.4367931649</v>
      </c>
      <c r="AU295" s="632">
        <f>AV294</f>
        <v>370</v>
      </c>
      <c r="AV295" s="598">
        <f>(AU295+AW291/360)^2</f>
        <v>136992.515625</v>
      </c>
      <c r="AW295" s="598">
        <f>(AW293+AW294+AO285)/3</f>
        <v>137397.8027357868</v>
      </c>
      <c r="AX295" s="598">
        <f>((AV296+AW296)/2)</f>
        <v>137370</v>
      </c>
      <c r="AY295" s="598">
        <f>(AY294*AX294)/AX296</f>
        <v>0.53854002000000001</v>
      </c>
      <c r="AZ295" s="599"/>
      <c r="BA295" s="599"/>
      <c r="BB295" s="599"/>
      <c r="BC295" s="599"/>
      <c r="BD295" s="599"/>
      <c r="BE295" s="502"/>
      <c r="BF295" s="514"/>
      <c r="BG295" s="505"/>
      <c r="BH295" s="505"/>
      <c r="BI295" s="514"/>
      <c r="BJ295" s="514"/>
      <c r="BK295" s="542"/>
      <c r="BL295" s="542"/>
      <c r="BM295" s="542"/>
      <c r="BN295" s="542"/>
      <c r="BO295" s="542"/>
      <c r="BP295" s="542"/>
      <c r="BQ295" s="542"/>
      <c r="BR295" s="542"/>
      <c r="BS295" s="542"/>
      <c r="BT295" s="503"/>
      <c r="BU295" s="503"/>
      <c r="BV295" s="500"/>
      <c r="BW295" s="502"/>
      <c r="BX295" s="502"/>
      <c r="BY295" s="797"/>
      <c r="BZ295" s="797"/>
      <c r="CA295" s="797"/>
      <c r="CB295" s="797"/>
      <c r="CC295" s="797"/>
      <c r="CD295" s="797"/>
      <c r="CE295" s="797"/>
      <c r="CF295" s="797"/>
      <c r="CG295" s="797"/>
      <c r="CH295" s="797"/>
      <c r="CI295" s="797"/>
      <c r="CJ295" s="797"/>
      <c r="CK295" s="797"/>
      <c r="CL295" s="797"/>
      <c r="CM295" s="797"/>
      <c r="CN295" s="797"/>
      <c r="CO295" s="797"/>
      <c r="CP295" s="797"/>
      <c r="CQ295" s="797"/>
      <c r="CR295" s="797"/>
      <c r="CS295" s="797"/>
      <c r="CT295" s="797"/>
      <c r="CU295" s="797"/>
    </row>
    <row r="296" spans="1:99" ht="15.75" thickBot="1" x14ac:dyDescent="0.3">
      <c r="A296" s="296">
        <f>SUM((A294-C285)*0.6-E286/B286)*F296</f>
        <v>141.08208267200516</v>
      </c>
      <c r="B296" s="263">
        <f>SUM(B293+B292)/2*(B293/B292)</f>
        <v>163286.30621025484</v>
      </c>
      <c r="C296" s="263">
        <v>1.5</v>
      </c>
      <c r="D296" s="263">
        <v>0</v>
      </c>
      <c r="E296" s="297">
        <f>K256</f>
        <v>-51749</v>
      </c>
      <c r="F296" s="298">
        <f>C259</f>
        <v>-1</v>
      </c>
      <c r="G296" s="299">
        <f>SUM((C285+E285+G285)/3)/((D285+F285+H285)/3)</f>
        <v>1.0018171158797293</v>
      </c>
      <c r="H296" s="300"/>
      <c r="I296" s="301">
        <f>(J295+K295+K294)/3</f>
        <v>172393.92362462345</v>
      </c>
      <c r="J296" s="302">
        <f>A258</f>
        <v>172317</v>
      </c>
      <c r="K296" s="303">
        <f>B258</f>
        <v>170967</v>
      </c>
      <c r="L296" s="304">
        <f>(J296-K296)-E292</f>
        <v>1</v>
      </c>
      <c r="M296" s="257"/>
      <c r="N296" s="257"/>
      <c r="O296" s="257"/>
      <c r="P296" s="257"/>
      <c r="Q296" s="257"/>
      <c r="R296" s="257"/>
      <c r="S296" s="151"/>
      <c r="T296" s="163"/>
      <c r="U296" s="154"/>
      <c r="V296" s="154"/>
      <c r="W296" s="163"/>
      <c r="X296" s="163"/>
      <c r="Y296" s="191"/>
      <c r="Z296" s="149"/>
      <c r="AA296" s="191"/>
      <c r="AB296" s="191"/>
      <c r="AC296" s="191"/>
      <c r="AD296" s="191"/>
      <c r="AE296" s="191"/>
      <c r="AF296" s="191"/>
      <c r="AG296" s="191"/>
      <c r="AH296" s="152"/>
      <c r="AI296" s="152"/>
      <c r="AJ296" s="162"/>
      <c r="AK296" s="171"/>
      <c r="AL296" s="151"/>
      <c r="AM296" s="633">
        <f>SUM((AM294-AO285)*0.6-AQ286/AN286)*AR296</f>
        <v>-1033.0316528057904</v>
      </c>
      <c r="AN296" s="604">
        <f>SUM(AN293+AN292)/2*(AN293/AN292)</f>
        <v>106211.86257069025</v>
      </c>
      <c r="AO296" s="604">
        <v>1.5</v>
      </c>
      <c r="AP296" s="604">
        <v>0</v>
      </c>
      <c r="AQ296" s="634">
        <f>AW256</f>
        <v>-41236</v>
      </c>
      <c r="AR296" s="635">
        <f>AO259</f>
        <v>-1</v>
      </c>
      <c r="AS296" s="636">
        <f>SUM((AO285+AQ285+AS285)/3)/((AP285+AR285+AT285)/3)</f>
        <v>1.0010566199767383</v>
      </c>
      <c r="AT296" s="637"/>
      <c r="AU296" s="638">
        <f>(AV295+AW295+AW294)/3</f>
        <v>137127.61132859558</v>
      </c>
      <c r="AV296" s="639">
        <f>AM258</f>
        <v>137694</v>
      </c>
      <c r="AW296" s="640">
        <f>AN258</f>
        <v>137046</v>
      </c>
      <c r="AX296" s="641">
        <f>(AV296-AW296)-AQ292</f>
        <v>1</v>
      </c>
      <c r="AY296" s="599"/>
      <c r="AZ296" s="599"/>
      <c r="BA296" s="599"/>
      <c r="BB296" s="599"/>
      <c r="BC296" s="599"/>
      <c r="BD296" s="599"/>
      <c r="BE296" s="502"/>
      <c r="BF296" s="514"/>
      <c r="BG296" s="505"/>
      <c r="BH296" s="505"/>
      <c r="BI296" s="514"/>
      <c r="BJ296" s="514"/>
      <c r="BK296" s="542"/>
      <c r="BL296" s="500"/>
      <c r="BM296" s="542"/>
      <c r="BN296" s="542"/>
      <c r="BO296" s="542"/>
      <c r="BP296" s="542"/>
      <c r="BQ296" s="542"/>
      <c r="BR296" s="542"/>
      <c r="BS296" s="542"/>
      <c r="BT296" s="503"/>
      <c r="BU296" s="503"/>
      <c r="BV296" s="513"/>
      <c r="BW296" s="502"/>
      <c r="BX296" s="502"/>
      <c r="BY296" s="797"/>
      <c r="BZ296" s="797"/>
      <c r="CA296" s="797"/>
      <c r="CB296" s="797"/>
      <c r="CC296" s="797"/>
      <c r="CD296" s="797"/>
      <c r="CE296" s="797"/>
      <c r="CF296" s="797"/>
      <c r="CG296" s="797"/>
      <c r="CH296" s="797"/>
      <c r="CI296" s="797"/>
      <c r="CJ296" s="797"/>
      <c r="CK296" s="797"/>
      <c r="CL296" s="797"/>
      <c r="CM296" s="797"/>
      <c r="CN296" s="797"/>
      <c r="CO296" s="797"/>
      <c r="CP296" s="797"/>
      <c r="CQ296" s="797"/>
      <c r="CR296" s="797"/>
      <c r="CS296" s="797"/>
      <c r="CT296" s="797"/>
      <c r="CU296" s="797"/>
    </row>
    <row r="297" spans="1:99" ht="15.75" thickBot="1" x14ac:dyDescent="0.3">
      <c r="A297" s="263">
        <f>(K288+A293)/2</f>
        <v>172797.07532855275</v>
      </c>
      <c r="B297" s="263">
        <f>SUM(B293+B292)/2*(B292/B293)</f>
        <v>175514.98476864296</v>
      </c>
      <c r="C297" s="263">
        <v>1</v>
      </c>
      <c r="D297" s="263">
        <v>0</v>
      </c>
      <c r="E297" s="297">
        <f>K257</f>
        <v>-51706</v>
      </c>
      <c r="F297" s="305">
        <f>(A293*2+A285+B288)/4</f>
        <v>172734.33793566641</v>
      </c>
      <c r="G297" s="306">
        <f>SUM(H301*G296)</f>
        <v>172659.64074138872</v>
      </c>
      <c r="H297" s="307">
        <v>45</v>
      </c>
      <c r="I297" s="308">
        <f>A256</f>
        <v>172632</v>
      </c>
      <c r="J297" s="308">
        <f>B256</f>
        <v>171622</v>
      </c>
      <c r="K297" s="309" t="s">
        <v>49</v>
      </c>
      <c r="L297" s="256">
        <v>0.5</v>
      </c>
      <c r="M297" s="310">
        <f>D285</f>
        <v>172305</v>
      </c>
      <c r="N297" s="310">
        <f>C285</f>
        <v>172693</v>
      </c>
      <c r="O297" s="311">
        <f>B285</f>
        <v>172431.15812175939</v>
      </c>
      <c r="P297" s="311">
        <f>A285</f>
        <v>172783.87044342127</v>
      </c>
      <c r="Q297" s="257"/>
      <c r="R297" s="257"/>
      <c r="S297" s="151"/>
      <c r="T297" s="163"/>
      <c r="U297" s="154"/>
      <c r="V297" s="154"/>
      <c r="W297" s="163"/>
      <c r="X297" s="163"/>
      <c r="Y297" s="149"/>
      <c r="Z297" s="149"/>
      <c r="AA297" s="191"/>
      <c r="AB297" s="149"/>
      <c r="AC297" s="149"/>
      <c r="AD297" s="149"/>
      <c r="AE297" s="149"/>
      <c r="AF297" s="149"/>
      <c r="AG297" s="191"/>
      <c r="AH297" s="152"/>
      <c r="AI297" s="152"/>
      <c r="AJ297" s="162"/>
      <c r="AK297" s="171"/>
      <c r="AL297" s="151"/>
      <c r="AM297" s="604">
        <f>(AW288+AM293)/2</f>
        <v>138961.39322686597</v>
      </c>
      <c r="AN297" s="604">
        <f>SUM(AN293+AN292)/2*(AN292/AN293)</f>
        <v>150490.27559231393</v>
      </c>
      <c r="AO297" s="604">
        <v>1</v>
      </c>
      <c r="AP297" s="604">
        <v>0</v>
      </c>
      <c r="AQ297" s="634">
        <f>AW257</f>
        <v>-41203</v>
      </c>
      <c r="AR297" s="642">
        <f>(AM293*2+AM285+AN288)/4</f>
        <v>138799.45558201679</v>
      </c>
      <c r="AS297" s="643">
        <f>SUM(AT301*AS296)</f>
        <v>137558.49186198378</v>
      </c>
      <c r="AT297" s="644">
        <v>45</v>
      </c>
      <c r="AU297" s="645">
        <f>AM256</f>
        <v>137040</v>
      </c>
      <c r="AV297" s="645">
        <f>AN256</f>
        <v>137344</v>
      </c>
      <c r="AW297" s="646" t="s">
        <v>49</v>
      </c>
      <c r="AX297" s="598">
        <v>0.5</v>
      </c>
      <c r="AY297" s="647">
        <f>AP285</f>
        <v>137212</v>
      </c>
      <c r="AZ297" s="647">
        <f>AO285</f>
        <v>137699</v>
      </c>
      <c r="BA297" s="632">
        <f>AN285</f>
        <v>139395.41789712416</v>
      </c>
      <c r="BB297" s="632">
        <f>AM285</f>
        <v>138942.88194060998</v>
      </c>
      <c r="BC297" s="599"/>
      <c r="BD297" s="599"/>
      <c r="BE297" s="502"/>
      <c r="BF297" s="514"/>
      <c r="BG297" s="505"/>
      <c r="BH297" s="505"/>
      <c r="BI297" s="514"/>
      <c r="BJ297" s="514"/>
      <c r="BK297" s="500"/>
      <c r="BL297" s="500"/>
      <c r="BM297" s="542"/>
      <c r="BN297" s="500"/>
      <c r="BO297" s="500"/>
      <c r="BP297" s="500"/>
      <c r="BQ297" s="500"/>
      <c r="BR297" s="500"/>
      <c r="BS297" s="542"/>
      <c r="BT297" s="503"/>
      <c r="BU297" s="503"/>
      <c r="BV297" s="513"/>
      <c r="BW297" s="502"/>
      <c r="BX297" s="502"/>
      <c r="BY297" s="797"/>
      <c r="BZ297" s="797"/>
      <c r="CA297" s="797"/>
      <c r="CB297" s="797"/>
      <c r="CC297" s="797"/>
      <c r="CD297" s="797"/>
      <c r="CE297" s="797"/>
      <c r="CF297" s="797"/>
      <c r="CG297" s="797"/>
      <c r="CH297" s="797"/>
      <c r="CI297" s="797"/>
      <c r="CJ297" s="797"/>
      <c r="CK297" s="797"/>
      <c r="CL297" s="797"/>
      <c r="CM297" s="797"/>
      <c r="CN297" s="797"/>
      <c r="CO297" s="797"/>
      <c r="CP297" s="797"/>
      <c r="CQ297" s="797"/>
      <c r="CR297" s="797"/>
      <c r="CS297" s="797"/>
      <c r="CT297" s="797"/>
      <c r="CU297" s="797"/>
    </row>
    <row r="298" spans="1:99" x14ac:dyDescent="0.25">
      <c r="A298" s="263">
        <v>3</v>
      </c>
      <c r="B298" s="263">
        <f>SUM(C298+B295)/2</f>
        <v>0.2145898535720942</v>
      </c>
      <c r="C298" s="263">
        <f>SUM(C297+B295)/2*(C295/B297)</f>
        <v>0.47062505607985583</v>
      </c>
      <c r="D298" s="263">
        <v>0</v>
      </c>
      <c r="E298" s="297">
        <f>K258</f>
        <v>-51690</v>
      </c>
      <c r="F298" s="305">
        <f>(A294*2+B288+B285)/4</f>
        <v>172486.45746225381</v>
      </c>
      <c r="G298" s="306">
        <f>SUM(G299*G301)/H298</f>
        <v>32.213822560658784</v>
      </c>
      <c r="H298" s="312">
        <v>45</v>
      </c>
      <c r="I298" s="308">
        <f>A257</f>
        <v>172401</v>
      </c>
      <c r="J298" s="308">
        <f>B257</f>
        <v>171886</v>
      </c>
      <c r="K298" s="313" t="s">
        <v>50</v>
      </c>
      <c r="L298" s="256">
        <v>2</v>
      </c>
      <c r="M298" s="257"/>
      <c r="N298" s="257"/>
      <c r="O298" s="257"/>
      <c r="P298" s="257"/>
      <c r="Q298" s="257"/>
      <c r="R298" s="257"/>
      <c r="S298" s="151"/>
      <c r="T298" s="163"/>
      <c r="U298" s="154"/>
      <c r="V298" s="154"/>
      <c r="W298" s="154"/>
      <c r="X298" s="154"/>
      <c r="Y298" s="191"/>
      <c r="Z298" s="149"/>
      <c r="AA298" s="314"/>
      <c r="AB298" s="149"/>
      <c r="AC298" s="149"/>
      <c r="AD298" s="149"/>
      <c r="AE298" s="149"/>
      <c r="AF298" s="149"/>
      <c r="AG298" s="191"/>
      <c r="AH298" s="152"/>
      <c r="AI298" s="152"/>
      <c r="AJ298" s="163"/>
      <c r="AK298" s="171"/>
      <c r="AL298" s="151"/>
      <c r="AM298" s="604">
        <v>3</v>
      </c>
      <c r="AN298" s="604">
        <f>SUM(AO298+AN295)/2</f>
        <v>0.20782194031775639</v>
      </c>
      <c r="AO298" s="604">
        <f>SUM(AO297+AN295)/2*(AO295/AN297)</f>
        <v>0.44372951457324789</v>
      </c>
      <c r="AP298" s="604">
        <v>0</v>
      </c>
      <c r="AQ298" s="634">
        <f>AW258</f>
        <v>-41248</v>
      </c>
      <c r="AR298" s="642">
        <f>(AM294*2+AN288+AN285)/4</f>
        <v>139156.13614505384</v>
      </c>
      <c r="AS298" s="643">
        <f>SUM(AS299*AS301)/AT298</f>
        <v>29.242913456654801</v>
      </c>
      <c r="AT298" s="648">
        <v>45</v>
      </c>
      <c r="AU298" s="645">
        <f>AM257</f>
        <v>137974</v>
      </c>
      <c r="AV298" s="645">
        <f>AN257</f>
        <v>137497</v>
      </c>
      <c r="AW298" s="649" t="s">
        <v>50</v>
      </c>
      <c r="AX298" s="598">
        <v>2</v>
      </c>
      <c r="AY298" s="599"/>
      <c r="AZ298" s="599"/>
      <c r="BA298" s="599"/>
      <c r="BB298" s="599"/>
      <c r="BC298" s="599"/>
      <c r="BD298" s="599"/>
      <c r="BE298" s="502"/>
      <c r="BF298" s="514"/>
      <c r="BG298" s="505"/>
      <c r="BH298" s="505"/>
      <c r="BI298" s="505"/>
      <c r="BJ298" s="505"/>
      <c r="BK298" s="542"/>
      <c r="BL298" s="500"/>
      <c r="BM298" s="650"/>
      <c r="BN298" s="500"/>
      <c r="BO298" s="500"/>
      <c r="BP298" s="500"/>
      <c r="BQ298" s="500"/>
      <c r="BR298" s="500"/>
      <c r="BS298" s="542"/>
      <c r="BT298" s="503"/>
      <c r="BU298" s="503"/>
      <c r="BV298" s="514"/>
      <c r="BW298" s="502"/>
      <c r="BX298" s="502"/>
      <c r="BY298" s="797"/>
      <c r="BZ298" s="797"/>
      <c r="CA298" s="797"/>
      <c r="CB298" s="797"/>
      <c r="CC298" s="797"/>
      <c r="CD298" s="797"/>
      <c r="CE298" s="797"/>
      <c r="CF298" s="797"/>
      <c r="CG298" s="797"/>
      <c r="CH298" s="797"/>
      <c r="CI298" s="797"/>
      <c r="CJ298" s="797"/>
      <c r="CK298" s="797"/>
      <c r="CL298" s="797"/>
      <c r="CM298" s="797"/>
      <c r="CN298" s="797"/>
      <c r="CO298" s="797"/>
      <c r="CP298" s="797"/>
      <c r="CQ298" s="797"/>
      <c r="CR298" s="797"/>
      <c r="CS298" s="797"/>
      <c r="CT298" s="797"/>
      <c r="CU298" s="797"/>
    </row>
    <row r="299" spans="1:99" x14ac:dyDescent="0.25">
      <c r="A299" s="263">
        <f>SUM((C289-B295)+C295)/2</f>
        <v>172346.46855833093</v>
      </c>
      <c r="B299" s="263"/>
      <c r="C299" s="315">
        <f>SUM(C293*-1)</f>
        <v>-0.59010965195496157</v>
      </c>
      <c r="D299" s="316">
        <f>SUM(C292*-1+C290)/-2</f>
        <v>0.46622121268836325</v>
      </c>
      <c r="E299" s="316">
        <v>0</v>
      </c>
      <c r="F299" s="316">
        <f>SUM(D288+F288)/(F288+H288)*((D288+F288+H288)/3)</f>
        <v>0.32061895712950444</v>
      </c>
      <c r="G299" s="317">
        <f>SUM(D286+F286)/(F286+H286)*(D286+F286+H286)/3*F299/H298</f>
        <v>8.40215828269383E-3</v>
      </c>
      <c r="H299" s="318" t="e">
        <f>SUM(F121H18/H301)*H300</f>
        <v>#NAME?</v>
      </c>
      <c r="I299" s="319">
        <f>(J298+I296+Q305)/3</f>
        <v>172282.48959362449</v>
      </c>
      <c r="J299" s="319">
        <v>1</v>
      </c>
      <c r="K299" s="319">
        <f>(B288+B285+A285+B285)/4</f>
        <v>172561.28299611836</v>
      </c>
      <c r="L299" s="320"/>
      <c r="M299" s="257"/>
      <c r="N299" s="257"/>
      <c r="O299" s="257"/>
      <c r="P299" s="257"/>
      <c r="Q299" s="257"/>
      <c r="R299" s="257"/>
      <c r="S299" s="151"/>
      <c r="T299" s="163"/>
      <c r="U299" s="163"/>
      <c r="V299" s="163"/>
      <c r="W299" s="154"/>
      <c r="X299" s="163"/>
      <c r="Y299" s="191"/>
      <c r="Z299" s="191"/>
      <c r="AA299" s="149"/>
      <c r="AB299" s="149"/>
      <c r="AC299" s="149"/>
      <c r="AD299" s="149"/>
      <c r="AE299" s="149"/>
      <c r="AF299" s="149"/>
      <c r="AG299" s="191"/>
      <c r="AH299" s="152"/>
      <c r="AI299" s="152"/>
      <c r="AJ299" s="248"/>
      <c r="AK299" s="171"/>
      <c r="AL299" s="151"/>
      <c r="AM299" s="604">
        <f>SUM((AO289-AN295)+AO295)/2</f>
        <v>137413.30034913166</v>
      </c>
      <c r="AN299" s="604"/>
      <c r="AO299" s="651">
        <f>SUM(AO293*-1)</f>
        <v>-0.81337586932101313</v>
      </c>
      <c r="AP299" s="651">
        <f>SUM(AO292*-1+AO290)/-2</f>
        <v>0.35250334273956585</v>
      </c>
      <c r="AQ299" s="651">
        <v>0</v>
      </c>
      <c r="AR299" s="651">
        <f>SUM(AP288+AR288)/(AR288+AT288)*((AP288+AR288+AT288)/3)</f>
        <v>0.45357993883811548</v>
      </c>
      <c r="AS299" s="652">
        <f>SUM(AP286+AR286)/(AR286+AT286)*(AP286+AR286+AT286)/3*AR299/AT298</f>
        <v>9.495018603750521E-3</v>
      </c>
      <c r="AT299" s="653" t="e">
        <f>SUM(F121H18/AT301)*AT300</f>
        <v>#NAME?</v>
      </c>
      <c r="AU299" s="654">
        <f>(AV298+AU296+BC305)/3</f>
        <v>137474.44382828186</v>
      </c>
      <c r="AV299" s="654">
        <v>1</v>
      </c>
      <c r="AW299" s="654">
        <f>(AN288+AN285+AM285+AN285)/4</f>
        <v>139030.35138183789</v>
      </c>
      <c r="AX299" s="599"/>
      <c r="AY299" s="599"/>
      <c r="AZ299" s="599"/>
      <c r="BA299" s="599"/>
      <c r="BB299" s="599"/>
      <c r="BC299" s="599"/>
      <c r="BD299" s="599"/>
      <c r="BE299" s="502"/>
      <c r="BF299" s="514"/>
      <c r="BG299" s="514"/>
      <c r="BH299" s="514"/>
      <c r="BI299" s="505"/>
      <c r="BJ299" s="514"/>
      <c r="BK299" s="542"/>
      <c r="BL299" s="542"/>
      <c r="BM299" s="500"/>
      <c r="BN299" s="500"/>
      <c r="BO299" s="500"/>
      <c r="BP299" s="500"/>
      <c r="BQ299" s="500"/>
      <c r="BR299" s="500"/>
      <c r="BS299" s="542"/>
      <c r="BT299" s="503"/>
      <c r="BU299" s="503"/>
      <c r="BV299" s="590"/>
      <c r="BW299" s="502"/>
      <c r="BX299" s="502"/>
      <c r="BY299" s="797"/>
      <c r="BZ299" s="797"/>
      <c r="CA299" s="797"/>
      <c r="CB299" s="797"/>
      <c r="CC299" s="797"/>
      <c r="CD299" s="797"/>
      <c r="CE299" s="797"/>
      <c r="CF299" s="797"/>
      <c r="CG299" s="797"/>
      <c r="CH299" s="797"/>
      <c r="CI299" s="797"/>
      <c r="CJ299" s="797"/>
      <c r="CK299" s="797"/>
      <c r="CL299" s="797"/>
      <c r="CM299" s="797"/>
      <c r="CN299" s="797"/>
      <c r="CO299" s="797"/>
      <c r="CP299" s="797"/>
      <c r="CQ299" s="797"/>
      <c r="CR299" s="797"/>
      <c r="CS299" s="797"/>
      <c r="CT299" s="797"/>
      <c r="CU299" s="797"/>
    </row>
    <row r="300" spans="1:99" x14ac:dyDescent="0.25">
      <c r="A300" s="263">
        <f>SUM(D285-D290)</f>
        <v>172304.94716245</v>
      </c>
      <c r="B300" s="263">
        <f>SUM(F285-F290)</f>
        <v>172099.44946631635</v>
      </c>
      <c r="C300" s="315">
        <f>SUM(H285-H290)</f>
        <v>172282.37822301817</v>
      </c>
      <c r="D300" s="269">
        <f>SUM(A302-B302)</f>
        <v>0.13250206140219234</v>
      </c>
      <c r="E300" s="269">
        <v>1.8</v>
      </c>
      <c r="F300" s="315">
        <f>SUM(E300/D286)*(D286+E300)/2</f>
        <v>2.52</v>
      </c>
      <c r="G300" s="321">
        <f>SUM(H301/H302)*H300</f>
        <v>172346.46589200798</v>
      </c>
      <c r="H300" s="321">
        <f>SUM(H301+(F299*G299))</f>
        <v>172346.4699328448</v>
      </c>
      <c r="I300" s="319">
        <f>(I298+J295+Q306)/3</f>
        <v>172321.71359375</v>
      </c>
      <c r="J300" s="319">
        <f>(B288+B285+A285)/3</f>
        <v>172604.65795423801</v>
      </c>
      <c r="K300" s="319">
        <f>(A285+B285+B288*2)/4</f>
        <v>172603.22979006183</v>
      </c>
      <c r="L300" s="257"/>
      <c r="M300" s="257"/>
      <c r="N300" s="257"/>
      <c r="O300" s="257"/>
      <c r="P300" s="257"/>
      <c r="Q300" s="257"/>
      <c r="R300" s="257"/>
      <c r="S300" s="151"/>
      <c r="T300" s="163"/>
      <c r="U300" s="163"/>
      <c r="V300" s="154"/>
      <c r="W300" s="154"/>
      <c r="X300" s="154"/>
      <c r="Y300" s="149"/>
      <c r="Z300" s="149"/>
      <c r="AA300" s="149"/>
      <c r="AB300" s="149"/>
      <c r="AC300" s="149"/>
      <c r="AD300" s="149"/>
      <c r="AE300" s="149"/>
      <c r="AF300" s="149"/>
      <c r="AG300" s="191"/>
      <c r="AH300" s="152"/>
      <c r="AI300" s="152"/>
      <c r="AJ300" s="322"/>
      <c r="AK300" s="171"/>
      <c r="AL300" s="151"/>
      <c r="AM300" s="604">
        <f>SUM(AP285-AP290)</f>
        <v>137211.92526099301</v>
      </c>
      <c r="AN300" s="604">
        <f>SUM(AR285-AR290)</f>
        <v>137389.53106469318</v>
      </c>
      <c r="AO300" s="651">
        <f>SUM(AT285-AT290)</f>
        <v>137474.16048066053</v>
      </c>
      <c r="AP300" s="604">
        <f>SUM(AM302-AN302)</f>
        <v>0.26660009077750146</v>
      </c>
      <c r="AQ300" s="604">
        <v>1.8</v>
      </c>
      <c r="AR300" s="651">
        <f>SUM(AQ300/AP286)*(AP286+AQ300)/2</f>
        <v>2.52</v>
      </c>
      <c r="AS300" s="655">
        <f>SUM(AT301/AT302)*AT300</f>
        <v>137413.29607263382</v>
      </c>
      <c r="AT300" s="655">
        <f>SUM(AT301+(AR299*AS299))</f>
        <v>137413.30253275865</v>
      </c>
      <c r="AU300" s="654">
        <f>(AU298+AV295+BC306)/3</f>
        <v>137514.19942708334</v>
      </c>
      <c r="AV300" s="654">
        <f>(AN288+AN285+AM285)/3</f>
        <v>138908.66254340913</v>
      </c>
      <c r="AW300" s="654">
        <f>(AM285+AN285+AN288*2)/4</f>
        <v>138778.41885568015</v>
      </c>
      <c r="AX300" s="599"/>
      <c r="AY300" s="599"/>
      <c r="AZ300" s="599"/>
      <c r="BA300" s="599"/>
      <c r="BB300" s="599"/>
      <c r="BC300" s="599"/>
      <c r="BD300" s="599"/>
      <c r="BE300" s="502"/>
      <c r="BF300" s="514"/>
      <c r="BG300" s="514"/>
      <c r="BH300" s="505"/>
      <c r="BI300" s="505"/>
      <c r="BJ300" s="505"/>
      <c r="BK300" s="500"/>
      <c r="BL300" s="500"/>
      <c r="BM300" s="500"/>
      <c r="BN300" s="500"/>
      <c r="BO300" s="500"/>
      <c r="BP300" s="500"/>
      <c r="BQ300" s="500"/>
      <c r="BR300" s="500"/>
      <c r="BS300" s="542"/>
      <c r="BT300" s="503"/>
      <c r="BU300" s="503"/>
      <c r="BV300" s="656"/>
      <c r="BW300" s="502"/>
      <c r="BX300" s="502"/>
      <c r="BY300" s="797"/>
      <c r="BZ300" s="797"/>
      <c r="CA300" s="797"/>
      <c r="CB300" s="797"/>
      <c r="CC300" s="797"/>
      <c r="CD300" s="797"/>
      <c r="CE300" s="797"/>
      <c r="CF300" s="797"/>
      <c r="CG300" s="797"/>
      <c r="CH300" s="797"/>
      <c r="CI300" s="797"/>
      <c r="CJ300" s="797"/>
      <c r="CK300" s="797"/>
      <c r="CL300" s="797"/>
      <c r="CM300" s="797"/>
      <c r="CN300" s="797"/>
      <c r="CO300" s="797"/>
      <c r="CP300" s="797"/>
      <c r="CQ300" s="797"/>
      <c r="CR300" s="797"/>
      <c r="CS300" s="797"/>
      <c r="CT300" s="797"/>
      <c r="CU300" s="797"/>
    </row>
    <row r="301" spans="1:99" ht="15.75" thickBot="1" x14ac:dyDescent="0.3">
      <c r="A301" s="263">
        <f>SUM(A300+D289)</f>
        <v>172305.12328761668</v>
      </c>
      <c r="B301" s="263">
        <f>SUM(B300+F289)</f>
        <v>172099.60333569185</v>
      </c>
      <c r="C301" s="315">
        <f>SUM(C300+H289)</f>
        <v>172282.44573466014</v>
      </c>
      <c r="D301" s="269"/>
      <c r="E301" s="315">
        <f>SUM(A291)</f>
        <v>172527.19991916339</v>
      </c>
      <c r="F301" s="315">
        <f>SUM(A302/B302)*A302</f>
        <v>172229.18995481954</v>
      </c>
      <c r="G301" s="323">
        <f>SUM(E301+F300)</f>
        <v>172529.71991916338</v>
      </c>
      <c r="H301" s="321">
        <f>SUM(((E302-F299*G299)+E302))/2</f>
        <v>172346.46723895357</v>
      </c>
      <c r="I301" s="319">
        <f>(B288+A285+B285+A285)/4</f>
        <v>172649.46107653383</v>
      </c>
      <c r="J301" s="319">
        <f>(J300+I300)/2</f>
        <v>172463.18577399402</v>
      </c>
      <c r="K301" s="319">
        <f>(K300+K299)/2</f>
        <v>172582.25639309009</v>
      </c>
      <c r="L301" s="257"/>
      <c r="M301" s="257"/>
      <c r="N301" s="257"/>
      <c r="O301" s="257"/>
      <c r="P301" s="257"/>
      <c r="Q301" s="257"/>
      <c r="R301" s="257"/>
      <c r="S301" s="151"/>
      <c r="T301" s="191"/>
      <c r="U301" s="149"/>
      <c r="V301" s="162"/>
      <c r="W301" s="149"/>
      <c r="X301" s="191"/>
      <c r="Y301" s="149"/>
      <c r="Z301" s="149"/>
      <c r="AA301" s="149"/>
      <c r="AB301" s="149"/>
      <c r="AC301" s="149"/>
      <c r="AD301" s="149"/>
      <c r="AE301" s="149"/>
      <c r="AF301" s="149"/>
      <c r="AG301" s="149"/>
      <c r="AH301" s="152"/>
      <c r="AI301" s="191"/>
      <c r="AJ301" s="152"/>
      <c r="AK301" s="171"/>
      <c r="AL301" s="151"/>
      <c r="AM301" s="604">
        <f>SUM(AM300+AP289)</f>
        <v>137212.138801013</v>
      </c>
      <c r="AN301" s="604">
        <f>SUM(AN300+AR289)</f>
        <v>137389.81299862859</v>
      </c>
      <c r="AO301" s="651">
        <f>SUM(AO300+AT289)</f>
        <v>137474.4648069774</v>
      </c>
      <c r="AP301" s="604"/>
      <c r="AQ301" s="651">
        <f>SUM(AM291)</f>
        <v>138589.21535791442</v>
      </c>
      <c r="AR301" s="651">
        <f>SUM(AM302/AN302)*AM302</f>
        <v>137359.07213614788</v>
      </c>
      <c r="AS301" s="655">
        <f>SUM(AQ301+AR300)</f>
        <v>138591.73535791441</v>
      </c>
      <c r="AT301" s="655">
        <f>SUM(((AQ302-AR299*AS299)+AQ302))/2</f>
        <v>137413.29822600869</v>
      </c>
      <c r="AU301" s="654">
        <f>(AN288+AM285+AN285+AM285)/4</f>
        <v>138917.21739270934</v>
      </c>
      <c r="AV301" s="654">
        <f>(AV300+AU300)/2</f>
        <v>138211.43098524623</v>
      </c>
      <c r="AW301" s="654">
        <f>(AW300+AW299)/2</f>
        <v>138904.385118759</v>
      </c>
      <c r="AX301" s="599"/>
      <c r="AY301" s="599"/>
      <c r="AZ301" s="599"/>
      <c r="BA301" s="599"/>
      <c r="BB301" s="599"/>
      <c r="BC301" s="599"/>
      <c r="BD301" s="599"/>
      <c r="BE301" s="502"/>
      <c r="BF301" s="542"/>
      <c r="BG301" s="500"/>
      <c r="BH301" s="513"/>
      <c r="BI301" s="500"/>
      <c r="BJ301" s="542"/>
      <c r="BK301" s="500"/>
      <c r="BL301" s="500"/>
      <c r="BM301" s="500"/>
      <c r="BN301" s="500"/>
      <c r="BO301" s="500"/>
      <c r="BP301" s="500"/>
      <c r="BQ301" s="500"/>
      <c r="BR301" s="500"/>
      <c r="BS301" s="500"/>
      <c r="BT301" s="503"/>
      <c r="BU301" s="542"/>
      <c r="BV301" s="503"/>
      <c r="BW301" s="502"/>
      <c r="BX301" s="502"/>
      <c r="BY301" s="797"/>
      <c r="BZ301" s="797"/>
      <c r="CA301" s="797"/>
      <c r="CB301" s="797"/>
      <c r="CC301" s="797"/>
      <c r="CD301" s="797"/>
      <c r="CE301" s="797"/>
      <c r="CF301" s="797"/>
      <c r="CG301" s="797"/>
      <c r="CH301" s="797"/>
      <c r="CI301" s="797"/>
      <c r="CJ301" s="797"/>
      <c r="CK301" s="797"/>
      <c r="CL301" s="797"/>
      <c r="CM301" s="797"/>
      <c r="CN301" s="797"/>
      <c r="CO301" s="797"/>
      <c r="CP301" s="797"/>
      <c r="CQ301" s="797"/>
      <c r="CR301" s="797"/>
      <c r="CS301" s="797"/>
      <c r="CT301" s="797"/>
      <c r="CU301" s="797"/>
    </row>
    <row r="302" spans="1:99" ht="15.75" thickBot="1" x14ac:dyDescent="0.3">
      <c r="A302" s="263">
        <f>SUM(A301+B301+C301)/3</f>
        <v>172229.05745265621</v>
      </c>
      <c r="B302" s="263">
        <f>SUM(A300+B300+C300)/3</f>
        <v>172228.92495059481</v>
      </c>
      <c r="C302" s="269"/>
      <c r="D302" s="269">
        <f>SUM(F302+F301)/2</f>
        <v>172228.99120172745</v>
      </c>
      <c r="E302" s="315">
        <f>SUM(A289)</f>
        <v>172346.46858589919</v>
      </c>
      <c r="F302" s="324">
        <f>SUM(B302/A302)*B302</f>
        <v>172228.79244863536</v>
      </c>
      <c r="G302" s="323">
        <f>SUM(E302+F300)</f>
        <v>172348.98858589918</v>
      </c>
      <c r="H302" s="321">
        <f>SUM(E302+(F299*G299))</f>
        <v>172346.47127979042</v>
      </c>
      <c r="I302" s="319">
        <f>(A285+I301)/2</f>
        <v>172716.66575997754</v>
      </c>
      <c r="J302" s="319">
        <f>(B288+B285+B287)/3</f>
        <v>172525.70932860504</v>
      </c>
      <c r="K302" s="325">
        <v>45</v>
      </c>
      <c r="L302" s="326">
        <f>(C285+D285)/2</f>
        <v>172499</v>
      </c>
      <c r="M302" s="257"/>
      <c r="N302" s="257"/>
      <c r="O302" s="257"/>
      <c r="P302" s="257"/>
      <c r="Q302" s="257"/>
      <c r="R302" s="257"/>
      <c r="S302" s="151"/>
      <c r="T302" s="171"/>
      <c r="U302" s="171"/>
      <c r="V302" s="171"/>
      <c r="W302" s="171"/>
      <c r="X302" s="171"/>
      <c r="Y302" s="171"/>
      <c r="Z302" s="171"/>
      <c r="AA302" s="171"/>
      <c r="AB302" s="171"/>
      <c r="AC302" s="171"/>
      <c r="AD302" s="171"/>
      <c r="AE302" s="171"/>
      <c r="AF302" s="171"/>
      <c r="AG302" s="171"/>
      <c r="AH302" s="171"/>
      <c r="AI302" s="171"/>
      <c r="AJ302" s="171"/>
      <c r="AK302" s="171"/>
      <c r="AL302" s="151"/>
      <c r="AM302" s="604">
        <f>SUM(AM301+AN301+AO301)/3</f>
        <v>137358.80553553966</v>
      </c>
      <c r="AN302" s="604">
        <f>SUM(AM300+AN300+AO300)/3</f>
        <v>137358.53893544889</v>
      </c>
      <c r="AO302" s="604"/>
      <c r="AP302" s="604">
        <f>SUM(AR302+AR301)/2</f>
        <v>137358.67223601171</v>
      </c>
      <c r="AQ302" s="651">
        <f>SUM(AM289)</f>
        <v>137413.30037938367</v>
      </c>
      <c r="AR302" s="657">
        <f>SUM(AN302/AM302)*AN302</f>
        <v>137358.27233587555</v>
      </c>
      <c r="AS302" s="655">
        <f>SUM(AQ302+AR300)</f>
        <v>137415.82037938366</v>
      </c>
      <c r="AT302" s="655">
        <f>SUM(AQ302+(AR299*AS299))</f>
        <v>137413.30468613363</v>
      </c>
      <c r="AU302" s="654">
        <f>(AM285+AU301)/2</f>
        <v>138930.04966665967</v>
      </c>
      <c r="AV302" s="654">
        <f>(AN288+AN285+AN287)/3</f>
        <v>139158.93146247024</v>
      </c>
      <c r="AW302" s="658">
        <v>45</v>
      </c>
      <c r="AX302" s="659">
        <f>(AO285+AP285)/2</f>
        <v>137455.5</v>
      </c>
      <c r="AY302" s="599"/>
      <c r="AZ302" s="599"/>
      <c r="BA302" s="599"/>
      <c r="BB302" s="599"/>
      <c r="BC302" s="599"/>
      <c r="BD302" s="599"/>
      <c r="BE302" s="502"/>
      <c r="BF302" s="502"/>
      <c r="BG302" s="502"/>
      <c r="BH302" s="502"/>
      <c r="BI302" s="502"/>
      <c r="BJ302" s="502"/>
      <c r="BK302" s="502"/>
      <c r="BL302" s="502"/>
      <c r="BM302" s="502"/>
      <c r="BN302" s="502"/>
      <c r="BO302" s="502"/>
      <c r="BP302" s="502"/>
      <c r="BQ302" s="502"/>
      <c r="BR302" s="502"/>
      <c r="BS302" s="502"/>
      <c r="BT302" s="502"/>
      <c r="BU302" s="502"/>
      <c r="BV302" s="502"/>
      <c r="BW302" s="502"/>
      <c r="BX302" s="502"/>
      <c r="BY302" s="797"/>
      <c r="BZ302" s="797"/>
      <c r="CA302" s="797"/>
      <c r="CB302" s="797"/>
      <c r="CC302" s="797"/>
      <c r="CD302" s="797"/>
      <c r="CE302" s="797"/>
      <c r="CF302" s="797"/>
      <c r="CG302" s="797"/>
      <c r="CH302" s="797"/>
      <c r="CI302" s="797"/>
      <c r="CJ302" s="797"/>
      <c r="CK302" s="797"/>
      <c r="CL302" s="797"/>
      <c r="CM302" s="797"/>
      <c r="CN302" s="797"/>
      <c r="CO302" s="797"/>
      <c r="CP302" s="797"/>
      <c r="CQ302" s="797"/>
      <c r="CR302" s="797"/>
      <c r="CS302" s="797"/>
      <c r="CT302" s="797"/>
      <c r="CU302" s="797"/>
    </row>
    <row r="303" spans="1:99" x14ac:dyDescent="0.25">
      <c r="A303" s="327">
        <f>SUM(H285)</f>
        <v>172282.48959362449</v>
      </c>
      <c r="B303" s="327">
        <f>SUM(G285)</f>
        <v>172321.71359375</v>
      </c>
      <c r="C303" s="328">
        <f>SUM(F285)</f>
        <v>172099.54076004014</v>
      </c>
      <c r="D303" s="328">
        <f>SUM(E285)</f>
        <v>172611.1969676204</v>
      </c>
      <c r="E303" s="328">
        <f>SUM(D285)</f>
        <v>172305</v>
      </c>
      <c r="F303" s="328">
        <f>SUM(C285)</f>
        <v>172693</v>
      </c>
      <c r="G303" s="329">
        <f>SUM(A307)</f>
        <v>172693</v>
      </c>
      <c r="H303" s="329">
        <f>SUM(B307)</f>
        <v>172099.54076004014</v>
      </c>
      <c r="I303" s="330">
        <f>((I297*100)^L297)</f>
        <v>4154.900720835577</v>
      </c>
      <c r="J303" s="330">
        <f>INT(I303)+1</f>
        <v>4155</v>
      </c>
      <c r="K303" s="292">
        <f>(J303+K302/360)^L298/100</f>
        <v>172650.63765625001</v>
      </c>
      <c r="L303" s="330">
        <f>INT(J303)+1</f>
        <v>4156</v>
      </c>
      <c r="M303" s="292">
        <f>(L303+K302/360)^L298/100</f>
        <v>172733.75015625</v>
      </c>
      <c r="N303" s="292">
        <f>(K303+M303)/2</f>
        <v>172692.19390625</v>
      </c>
      <c r="O303" s="292">
        <f>((O304+L302)/2*100)^L297</f>
        <v>4154.5251411488052</v>
      </c>
      <c r="P303" s="292">
        <f>INT(O303)+1</f>
        <v>4155</v>
      </c>
      <c r="Q303" s="330">
        <f>(P303+K302/360)^L298/100</f>
        <v>172650.63765625001</v>
      </c>
      <c r="R303" s="292">
        <f>INT(Q304)+1</f>
        <v>4149</v>
      </c>
      <c r="S303" s="151"/>
      <c r="T303" s="171"/>
      <c r="U303" s="171"/>
      <c r="V303" s="171"/>
      <c r="W303" s="171"/>
      <c r="X303" s="171"/>
      <c r="Y303" s="171"/>
      <c r="Z303" s="171"/>
      <c r="AA303" s="171"/>
      <c r="AB303" s="151"/>
      <c r="AC303" s="151"/>
      <c r="AD303" s="151"/>
      <c r="AE303" s="151"/>
      <c r="AF303" s="151"/>
      <c r="AG303" s="171"/>
      <c r="AH303" s="171"/>
      <c r="AI303" s="171"/>
      <c r="AJ303" s="171"/>
      <c r="AK303" s="171"/>
      <c r="AL303" s="151"/>
      <c r="AM303" s="660">
        <f>SUM(AT285)</f>
        <v>137474.44382828186</v>
      </c>
      <c r="AN303" s="660">
        <f>SUM(AS285)</f>
        <v>137514.19942708334</v>
      </c>
      <c r="AO303" s="660">
        <f>SUM(AR285)</f>
        <v>137389.85346401227</v>
      </c>
      <c r="AP303" s="660">
        <f>SUM(AQ285)</f>
        <v>137298.50591287014</v>
      </c>
      <c r="AQ303" s="660">
        <f>SUM(AP285)</f>
        <v>137212</v>
      </c>
      <c r="AR303" s="660">
        <f>SUM(AO285)</f>
        <v>137699</v>
      </c>
      <c r="AS303" s="661">
        <f>SUM(AM307)</f>
        <v>137699</v>
      </c>
      <c r="AT303" s="661">
        <f>SUM(AN307)</f>
        <v>137389.85346401227</v>
      </c>
      <c r="AU303" s="621">
        <f>((AU297*100)^AX297)</f>
        <v>3701.8914084559533</v>
      </c>
      <c r="AV303" s="621">
        <f>INT(AU303)+1</f>
        <v>3702</v>
      </c>
      <c r="AW303" s="598">
        <f>(AV303+AW302/360)^AX298/100</f>
        <v>137057.29515625001</v>
      </c>
      <c r="AX303" s="621">
        <f>INT(AV303)+1</f>
        <v>3703</v>
      </c>
      <c r="AY303" s="598">
        <f>(AX303+AW302/360)^AX298/100</f>
        <v>137131.34765625</v>
      </c>
      <c r="AZ303" s="598">
        <f>(AW303+AY303)/2</f>
        <v>137094.32140625</v>
      </c>
      <c r="BA303" s="598">
        <f>((BA304+AX302)/2*100)^AX297</f>
        <v>3705.1253552933267</v>
      </c>
      <c r="BB303" s="598">
        <f>INT(BA303)+1</f>
        <v>3706</v>
      </c>
      <c r="BC303" s="621">
        <f>(BB303+AW302/360)^AX298/100</f>
        <v>137353.62515625</v>
      </c>
      <c r="BD303" s="598">
        <f>INT(BC304)+1</f>
        <v>3707</v>
      </c>
      <c r="BE303" s="502"/>
      <c r="BF303" s="502"/>
      <c r="BG303" s="502"/>
      <c r="BH303" s="502"/>
      <c r="BI303" s="502"/>
      <c r="BJ303" s="502"/>
      <c r="BK303" s="502"/>
      <c r="BL303" s="502"/>
      <c r="BM303" s="502"/>
      <c r="BN303" s="502"/>
      <c r="BO303" s="502"/>
      <c r="BP303" s="502"/>
      <c r="BQ303" s="502"/>
      <c r="BR303" s="502"/>
      <c r="BS303" s="502"/>
      <c r="BT303" s="502"/>
      <c r="BU303" s="502"/>
      <c r="BV303" s="502"/>
      <c r="BW303" s="502"/>
      <c r="BX303" s="502"/>
      <c r="BY303" s="797"/>
      <c r="BZ303" s="797"/>
      <c r="CA303" s="797"/>
      <c r="CB303" s="797"/>
      <c r="CC303" s="797"/>
      <c r="CD303" s="797"/>
      <c r="CE303" s="797"/>
      <c r="CF303" s="797"/>
      <c r="CG303" s="797"/>
      <c r="CH303" s="797"/>
      <c r="CI303" s="797"/>
      <c r="CJ303" s="797"/>
      <c r="CK303" s="797"/>
      <c r="CL303" s="797"/>
      <c r="CM303" s="797"/>
      <c r="CN303" s="797"/>
      <c r="CO303" s="797"/>
      <c r="CP303" s="797"/>
      <c r="CQ303" s="797"/>
      <c r="CR303" s="797"/>
      <c r="CS303" s="797"/>
      <c r="CT303" s="797"/>
      <c r="CU303" s="797"/>
    </row>
    <row r="304" spans="1:99" x14ac:dyDescent="0.25">
      <c r="A304" s="327">
        <f t="shared" ref="A304:F304" si="6">SUM(A303)</f>
        <v>172282.48959362449</v>
      </c>
      <c r="B304" s="327">
        <f t="shared" si="6"/>
        <v>172321.71359375</v>
      </c>
      <c r="C304" s="328">
        <f t="shared" si="6"/>
        <v>172099.54076004014</v>
      </c>
      <c r="D304" s="328">
        <f t="shared" si="6"/>
        <v>172611.1969676204</v>
      </c>
      <c r="E304" s="328">
        <f t="shared" si="6"/>
        <v>172305</v>
      </c>
      <c r="F304" s="328">
        <f t="shared" si="6"/>
        <v>172693</v>
      </c>
      <c r="G304" s="329">
        <f>SUM(H301)</f>
        <v>172346.46723895357</v>
      </c>
      <c r="H304" s="329">
        <f>SUM(G297)</f>
        <v>172659.64074138872</v>
      </c>
      <c r="I304" s="330">
        <f>(J297*100)^L297</f>
        <v>4142.728569433436</v>
      </c>
      <c r="J304" s="330">
        <f>INT(I304)+1</f>
        <v>4143</v>
      </c>
      <c r="K304" s="292">
        <f>(J304-K302/360)^L298/100</f>
        <v>171634.13265625</v>
      </c>
      <c r="L304" s="331">
        <f>INT(J304)+1</f>
        <v>4144</v>
      </c>
      <c r="M304" s="292">
        <f>(L304-K302/360)^L298/100</f>
        <v>171717.00015625</v>
      </c>
      <c r="N304" s="292">
        <f>(N303+M303)/2</f>
        <v>172712.97203125001</v>
      </c>
      <c r="O304" s="292">
        <f>(N303+N304)/2</f>
        <v>172702.58296875001</v>
      </c>
      <c r="P304" s="292">
        <f>(K304+M304)/2</f>
        <v>171675.56640625</v>
      </c>
      <c r="Q304" s="292">
        <f>((P304+L302)/2*100)^L297</f>
        <v>4148.3404296552735</v>
      </c>
      <c r="R304" s="292">
        <f>(R303+K302/360)^L298/100</f>
        <v>172152.38265625</v>
      </c>
      <c r="S304" s="151"/>
      <c r="T304" s="171"/>
      <c r="U304" s="171"/>
      <c r="V304" s="171"/>
      <c r="W304" s="171"/>
      <c r="X304" s="171"/>
      <c r="Y304" s="171"/>
      <c r="Z304" s="171"/>
      <c r="AA304" s="171"/>
      <c r="AB304" s="151"/>
      <c r="AC304" s="151"/>
      <c r="AD304" s="151"/>
      <c r="AE304" s="151"/>
      <c r="AF304" s="151"/>
      <c r="AG304" s="171"/>
      <c r="AH304" s="171"/>
      <c r="AI304" s="171"/>
      <c r="AJ304" s="171"/>
      <c r="AK304" s="171"/>
      <c r="AL304" s="151"/>
      <c r="AM304" s="660">
        <f t="shared" ref="AM304:AR304" si="7">SUM(AM303)</f>
        <v>137474.44382828186</v>
      </c>
      <c r="AN304" s="660">
        <f t="shared" si="7"/>
        <v>137514.19942708334</v>
      </c>
      <c r="AO304" s="660">
        <f t="shared" si="7"/>
        <v>137389.85346401227</v>
      </c>
      <c r="AP304" s="660">
        <f t="shared" si="7"/>
        <v>137298.50591287014</v>
      </c>
      <c r="AQ304" s="660">
        <f t="shared" si="7"/>
        <v>137212</v>
      </c>
      <c r="AR304" s="660">
        <f t="shared" si="7"/>
        <v>137699</v>
      </c>
      <c r="AS304" s="661">
        <f>SUM(AT301)</f>
        <v>137413.29822600869</v>
      </c>
      <c r="AT304" s="661">
        <f>SUM(AS297)</f>
        <v>137558.49186198378</v>
      </c>
      <c r="AU304" s="621">
        <f>(AV297*100)^AX297</f>
        <v>3705.9951430081501</v>
      </c>
      <c r="AV304" s="621">
        <f>INT(AU304)+1</f>
        <v>3706</v>
      </c>
      <c r="AW304" s="598">
        <f>(AV304-AW302/360)^AX298/100</f>
        <v>137335.09515625</v>
      </c>
      <c r="AX304" s="662">
        <f>INT(AV304)+1</f>
        <v>3707</v>
      </c>
      <c r="AY304" s="598">
        <f>(AX304-AW302/360)^AX298/100</f>
        <v>137409.22265625</v>
      </c>
      <c r="AZ304" s="598">
        <f>(AZ303+AY303)/2</f>
        <v>137112.83453125</v>
      </c>
      <c r="BA304" s="598">
        <f>(AZ303+AZ304)/2</f>
        <v>137103.57796875</v>
      </c>
      <c r="BB304" s="598">
        <f>(AW304+AY304)/2</f>
        <v>137372.15890625</v>
      </c>
      <c r="BC304" s="598">
        <f>((BB304+AX302)/2*100)^AX297</f>
        <v>3706.9371380308708</v>
      </c>
      <c r="BD304" s="598">
        <f>(BD303+AW302/360)^AX298/100</f>
        <v>137427.75765625</v>
      </c>
      <c r="BE304" s="502"/>
      <c r="BF304" s="502"/>
      <c r="BG304" s="502"/>
      <c r="BH304" s="502"/>
      <c r="BI304" s="502"/>
      <c r="BJ304" s="502"/>
      <c r="BK304" s="502"/>
      <c r="BL304" s="502"/>
      <c r="BM304" s="502"/>
      <c r="BN304" s="502"/>
      <c r="BO304" s="502"/>
      <c r="BP304" s="502"/>
      <c r="BQ304" s="502"/>
      <c r="BR304" s="502"/>
      <c r="BS304" s="502"/>
      <c r="BT304" s="502"/>
      <c r="BU304" s="502"/>
      <c r="BV304" s="502"/>
      <c r="BW304" s="502"/>
      <c r="BX304" s="502"/>
      <c r="BY304" s="797"/>
      <c r="BZ304" s="797"/>
      <c r="CA304" s="797"/>
      <c r="CB304" s="797"/>
      <c r="CC304" s="797"/>
      <c r="CD304" s="797"/>
      <c r="CE304" s="797"/>
      <c r="CF304" s="797"/>
      <c r="CG304" s="797"/>
      <c r="CH304" s="797"/>
      <c r="CI304" s="797"/>
      <c r="CJ304" s="797"/>
      <c r="CK304" s="797"/>
      <c r="CL304" s="797"/>
      <c r="CM304" s="797"/>
      <c r="CN304" s="797"/>
      <c r="CO304" s="797"/>
      <c r="CP304" s="797"/>
      <c r="CQ304" s="797"/>
      <c r="CR304" s="797"/>
      <c r="CS304" s="797"/>
      <c r="CT304" s="797"/>
      <c r="CU304" s="797"/>
    </row>
    <row r="305" spans="1:99" x14ac:dyDescent="0.25">
      <c r="A305" s="327">
        <f>SUM(C285)</f>
        <v>172693</v>
      </c>
      <c r="B305" s="327">
        <f>SUM(A294+A291)/2</f>
        <v>172492.53156701234</v>
      </c>
      <c r="C305" s="328">
        <f>SUM((A306/B306)*(B305+B305))/2</f>
        <v>172748.7793816487</v>
      </c>
      <c r="D305" s="328">
        <f>SUM(B305/C305)*(C305+B305)/2</f>
        <v>172364.59771296906</v>
      </c>
      <c r="E305" s="328">
        <f>SUM(C305/D305)*(C305+D305)/2</f>
        <v>172941.29836526193</v>
      </c>
      <c r="F305" s="328">
        <f>SUM(D305+E305)/2</f>
        <v>172652.94803911549</v>
      </c>
      <c r="G305" s="329">
        <f>SUM(E305/F305)*(F305+E305)/2</f>
        <v>173085.71431747754</v>
      </c>
      <c r="H305" s="329">
        <f>SUM(E305/G305)*(G305+E305)/2</f>
        <v>172869.15063666599</v>
      </c>
      <c r="I305" s="292">
        <f>(I298*100)^L297</f>
        <v>4152.1199404641484</v>
      </c>
      <c r="J305" s="292">
        <f>INT(I305)+1</f>
        <v>4153</v>
      </c>
      <c r="K305" s="292">
        <f>(J305+K302/360)^L298/100</f>
        <v>172484.47265625</v>
      </c>
      <c r="L305" s="292">
        <f>INT(J305)+1</f>
        <v>4154</v>
      </c>
      <c r="M305" s="292">
        <f>(L305+K302/360)^L298/100</f>
        <v>172567.54515625001</v>
      </c>
      <c r="N305" s="292">
        <f>(K305+M305)/2</f>
        <v>172526.00890625</v>
      </c>
      <c r="O305" s="292">
        <f>((N305+L302)/2*100)^L297</f>
        <v>4153.4624646567472</v>
      </c>
      <c r="P305" s="292">
        <f>INT(O305)+1</f>
        <v>4154</v>
      </c>
      <c r="Q305" s="292">
        <f>(P305+K302/360)^L298/100</f>
        <v>172567.54515625001</v>
      </c>
      <c r="R305" s="292"/>
      <c r="S305" s="151"/>
      <c r="T305" s="171"/>
      <c r="U305" s="171"/>
      <c r="V305" s="171"/>
      <c r="W305" s="171"/>
      <c r="X305" s="171"/>
      <c r="Y305" s="171"/>
      <c r="Z305" s="171"/>
      <c r="AA305" s="171"/>
      <c r="AB305" s="151"/>
      <c r="AC305" s="151"/>
      <c r="AD305" s="151"/>
      <c r="AE305" s="151"/>
      <c r="AF305" s="151"/>
      <c r="AG305" s="171"/>
      <c r="AH305" s="171"/>
      <c r="AI305" s="171"/>
      <c r="AJ305" s="171"/>
      <c r="AK305" s="171"/>
      <c r="AL305" s="151"/>
      <c r="AM305" s="660">
        <f>SUM(AO285)</f>
        <v>137699</v>
      </c>
      <c r="AN305" s="660">
        <f>SUM(AM294+AM291)/2</f>
        <v>139004.96740160673</v>
      </c>
      <c r="AO305" s="660">
        <f>SUM((AM306/AN306)*(AN305+AN305))/2</f>
        <v>138700.51007154721</v>
      </c>
      <c r="AP305" s="660">
        <f>SUM(AN305/AO305)*(AO305+AN305)/2</f>
        <v>139157.5302192138</v>
      </c>
      <c r="AQ305" s="660">
        <f>SUM(AO305/AP305)*(AO305+AP305)/2</f>
        <v>138472.75046883483</v>
      </c>
      <c r="AR305" s="660">
        <f>SUM(AP305+AQ305)/2</f>
        <v>138815.14034402432</v>
      </c>
      <c r="AS305" s="661">
        <f>SUM(AQ305/AR305)*(AR305+AQ305)/2</f>
        <v>138301.97778642905</v>
      </c>
      <c r="AT305" s="661">
        <f>SUM(AQ305/AS305)*(AS305+AQ305)/2</f>
        <v>138558.24224348678</v>
      </c>
      <c r="AU305" s="598">
        <f>(AU298*100)^AX297</f>
        <v>3714.4851594803822</v>
      </c>
      <c r="AV305" s="598">
        <f>INT(AU305)+1</f>
        <v>3715</v>
      </c>
      <c r="AW305" s="598">
        <f>(AV305+AW302/360)^AX298/100</f>
        <v>138021.53765625</v>
      </c>
      <c r="AX305" s="598">
        <f>INT(AV305)+1</f>
        <v>3716</v>
      </c>
      <c r="AY305" s="598">
        <f>(AX305+AW302/360)^AX298/100</f>
        <v>138095.85015625</v>
      </c>
      <c r="AZ305" s="598">
        <f>(AW305+AY305)/2</f>
        <v>138058.69390625</v>
      </c>
      <c r="BA305" s="598">
        <f>((AZ305+AX302)/2*100)^AX297</f>
        <v>3711.5643191668523</v>
      </c>
      <c r="BB305" s="598">
        <f>INT(BA305)+1</f>
        <v>3712</v>
      </c>
      <c r="BC305" s="598">
        <f>(BB305+AW302/360)^AX298/100</f>
        <v>137798.72015625</v>
      </c>
      <c r="BD305" s="598"/>
      <c r="BE305" s="502"/>
      <c r="BF305" s="502"/>
      <c r="BG305" s="502"/>
      <c r="BH305" s="502"/>
      <c r="BI305" s="502"/>
      <c r="BJ305" s="502"/>
      <c r="BK305" s="502"/>
      <c r="BL305" s="502"/>
      <c r="BM305" s="502"/>
      <c r="BN305" s="502"/>
      <c r="BO305" s="502"/>
      <c r="BP305" s="502"/>
      <c r="BQ305" s="502"/>
      <c r="BR305" s="502"/>
      <c r="BS305" s="502"/>
      <c r="BT305" s="502"/>
      <c r="BU305" s="502"/>
      <c r="BV305" s="502"/>
      <c r="BW305" s="502"/>
      <c r="BX305" s="502"/>
      <c r="BY305" s="797"/>
      <c r="BZ305" s="797"/>
      <c r="CA305" s="797"/>
      <c r="CB305" s="797"/>
      <c r="CC305" s="797"/>
      <c r="CD305" s="797"/>
      <c r="CE305" s="797"/>
      <c r="CF305" s="797"/>
      <c r="CG305" s="797"/>
      <c r="CH305" s="797"/>
      <c r="CI305" s="797"/>
      <c r="CJ305" s="797"/>
      <c r="CK305" s="797"/>
      <c r="CL305" s="797"/>
      <c r="CM305" s="797"/>
      <c r="CN305" s="797"/>
      <c r="CO305" s="797"/>
      <c r="CP305" s="797"/>
      <c r="CQ305" s="797"/>
      <c r="CR305" s="797"/>
      <c r="CS305" s="797"/>
      <c r="CT305" s="797"/>
      <c r="CU305" s="797"/>
    </row>
    <row r="306" spans="1:99" x14ac:dyDescent="0.25">
      <c r="A306" s="284">
        <f>SUM(A305)</f>
        <v>172693</v>
      </c>
      <c r="B306" s="284">
        <f>SUM(H300+E301)/2</f>
        <v>172436.83492600411</v>
      </c>
      <c r="C306" s="332">
        <f>SUM(A306/B306)*(A306+B306)/2</f>
        <v>172821.27281115012</v>
      </c>
      <c r="D306" s="332">
        <f>SUM(B306/C306)*(B306+A306)/2</f>
        <v>172181.0498358242</v>
      </c>
      <c r="E306" s="332">
        <f>SUM(C306/D306)*(D306+A306)/2</f>
        <v>173078.19968862328</v>
      </c>
      <c r="F306" s="332">
        <f>SUM(D306/A306)*(E306+A306)/2</f>
        <v>172373.07871592819</v>
      </c>
      <c r="G306" s="333">
        <f>SUM(E306/F306)*(A306+F306)/2</f>
        <v>173238.814676479</v>
      </c>
      <c r="H306" s="333">
        <f>SUM(A306/G306)*(G306+A306)/2</f>
        <v>172420.95249695855</v>
      </c>
      <c r="I306" s="292">
        <f>(J298*100)^L297</f>
        <v>4145.9136508132924</v>
      </c>
      <c r="J306" s="292">
        <f>INT(I306)+1</f>
        <v>4146</v>
      </c>
      <c r="K306" s="292">
        <f>(J306+K302/360)^L298/100</f>
        <v>171903.52515624999</v>
      </c>
      <c r="L306" s="292">
        <f>INT(I306)+1</f>
        <v>4146</v>
      </c>
      <c r="M306" s="292">
        <f>(L306+K302/360)^L298/100</f>
        <v>171903.52515624999</v>
      </c>
      <c r="N306" s="292">
        <f>(K306+M306)/2</f>
        <v>171903.52515624999</v>
      </c>
      <c r="O306" s="292">
        <f>((N306+L302)/2*100)^L297</f>
        <v>4149.7139971102224</v>
      </c>
      <c r="P306" s="292">
        <f>INT(O306)+1</f>
        <v>4150</v>
      </c>
      <c r="Q306" s="292">
        <f>(P306+K302/360)^L298/100</f>
        <v>172235.37515625</v>
      </c>
      <c r="R306" s="292"/>
      <c r="S306" s="151"/>
      <c r="T306" s="171"/>
      <c r="U306" s="171"/>
      <c r="V306" s="171"/>
      <c r="W306" s="171"/>
      <c r="X306" s="171"/>
      <c r="Y306" s="171"/>
      <c r="Z306" s="171"/>
      <c r="AA306" s="171"/>
      <c r="AB306" s="151"/>
      <c r="AC306" s="151"/>
      <c r="AD306" s="151"/>
      <c r="AE306" s="151"/>
      <c r="AF306" s="151"/>
      <c r="AG306" s="171"/>
      <c r="AH306" s="171"/>
      <c r="AI306" s="171"/>
      <c r="AJ306" s="171"/>
      <c r="AK306" s="171"/>
      <c r="AL306" s="151"/>
      <c r="AM306" s="622">
        <f>SUM(AM305)</f>
        <v>137699</v>
      </c>
      <c r="AN306" s="622">
        <f>SUM(AT300+AQ301)/2</f>
        <v>138001.25894533654</v>
      </c>
      <c r="AO306" s="622">
        <f>SUM(AM306/AN306)*(AM306+AN306)/2</f>
        <v>137548.20154050775</v>
      </c>
      <c r="AP306" s="622">
        <f>SUM(AN306/AO306)*(AN306+AM306)/2</f>
        <v>138304.18137021933</v>
      </c>
      <c r="AQ306" s="622">
        <f>SUM(AO306/AP306)*(AP306+AM306)/2</f>
        <v>137247.26483615511</v>
      </c>
      <c r="AR306" s="622">
        <f>SUM(AP306/AM306)*(AQ306+AM306)/2</f>
        <v>138077.3211096811</v>
      </c>
      <c r="AS306" s="663">
        <f>SUM(AQ306/AR306)*(AM306+AR306)/2</f>
        <v>137059.24142609682</v>
      </c>
      <c r="AT306" s="663">
        <f>SUM(AM306/AS306)*(AS306+AM306)/2</f>
        <v>138020.37240419281</v>
      </c>
      <c r="AU306" s="598">
        <f>(AV298*100)^AX297</f>
        <v>3708.0587913354339</v>
      </c>
      <c r="AV306" s="598">
        <f>INT(AU306)+1</f>
        <v>3709</v>
      </c>
      <c r="AW306" s="598">
        <f>(AV306+AW302/360)^AX298/100</f>
        <v>137576.08265624999</v>
      </c>
      <c r="AX306" s="598">
        <f>INT(AU306)+1</f>
        <v>3709</v>
      </c>
      <c r="AY306" s="598">
        <f>(AX306+AW302/360)^AX298/100</f>
        <v>137576.08265624999</v>
      </c>
      <c r="AZ306" s="598">
        <f>(AW306+AY306)/2</f>
        <v>137576.08265624999</v>
      </c>
      <c r="BA306" s="598">
        <f>((AZ306+AX302)/2*100)^AX297</f>
        <v>3708.3121676596347</v>
      </c>
      <c r="BB306" s="598">
        <f>INT(BA306)+1</f>
        <v>3709</v>
      </c>
      <c r="BC306" s="598">
        <f>(BB306+AW302/360)^AX298/100</f>
        <v>137576.08265624999</v>
      </c>
      <c r="BD306" s="598"/>
      <c r="BE306" s="502"/>
      <c r="BF306" s="502"/>
      <c r="BG306" s="502"/>
      <c r="BH306" s="502"/>
      <c r="BI306" s="502"/>
      <c r="BJ306" s="502"/>
      <c r="BK306" s="502"/>
      <c r="BL306" s="502"/>
      <c r="BM306" s="502"/>
      <c r="BN306" s="502"/>
      <c r="BO306" s="502"/>
      <c r="BP306" s="502"/>
      <c r="BQ306" s="502"/>
      <c r="BR306" s="502"/>
      <c r="BS306" s="502"/>
      <c r="BT306" s="502"/>
      <c r="BU306" s="502"/>
      <c r="BV306" s="502"/>
      <c r="BW306" s="502"/>
      <c r="BX306" s="502"/>
      <c r="BY306" s="797"/>
      <c r="BZ306" s="797"/>
      <c r="CA306" s="797"/>
      <c r="CB306" s="797"/>
      <c r="CC306" s="797"/>
      <c r="CD306" s="797"/>
      <c r="CE306" s="797"/>
      <c r="CF306" s="797"/>
      <c r="CG306" s="797"/>
      <c r="CH306" s="797"/>
      <c r="CI306" s="797"/>
      <c r="CJ306" s="797"/>
      <c r="CK306" s="797"/>
      <c r="CL306" s="797"/>
      <c r="CM306" s="797"/>
      <c r="CN306" s="797"/>
      <c r="CO306" s="797"/>
      <c r="CP306" s="797"/>
      <c r="CQ306" s="797"/>
      <c r="CR306" s="797"/>
      <c r="CS306" s="797"/>
      <c r="CT306" s="797"/>
      <c r="CU306" s="797"/>
    </row>
    <row r="307" spans="1:99" x14ac:dyDescent="0.25">
      <c r="A307" s="334">
        <f>SUM(A306)</f>
        <v>172693</v>
      </c>
      <c r="B307" s="334">
        <f>SUM(C304)</f>
        <v>172099.54076004014</v>
      </c>
      <c r="C307" s="334">
        <f>SUM(B288+A293)/2</f>
        <v>172688.10664919441</v>
      </c>
      <c r="D307" s="334">
        <f>SUM(A293)</f>
        <v>172777.26800085552</v>
      </c>
      <c r="E307" s="334">
        <f>SUM(A294)</f>
        <v>172457.86321486128</v>
      </c>
      <c r="F307" s="334">
        <f>SUM(((A307/B307)+(C307/B307))/2)*(B307+C307)/2</f>
        <v>172985.84687569315</v>
      </c>
      <c r="G307" s="334">
        <f>SUM(((D307/F307)+(E307/C307))/2*(D307+E307+F307)/3)</f>
        <v>172521.02808330281</v>
      </c>
      <c r="H307" s="334">
        <f>SUM(((G307/E307)+(E307/B307))/2*(B307+D307+G307)/3)</f>
        <v>172677.0721958926</v>
      </c>
      <c r="I307" s="335"/>
      <c r="J307" s="257"/>
      <c r="K307" s="257"/>
      <c r="L307" s="257"/>
      <c r="M307" s="257"/>
      <c r="N307" s="257"/>
      <c r="O307" s="257"/>
      <c r="P307" s="257"/>
      <c r="Q307" s="257"/>
      <c r="R307" s="257"/>
      <c r="S307" s="151"/>
      <c r="T307" s="171"/>
      <c r="U307" s="171"/>
      <c r="V307" s="171"/>
      <c r="W307" s="171"/>
      <c r="X307" s="171"/>
      <c r="Y307" s="171"/>
      <c r="Z307" s="171"/>
      <c r="AA307" s="171"/>
      <c r="AB307" s="151"/>
      <c r="AC307" s="151"/>
      <c r="AD307" s="151"/>
      <c r="AE307" s="151"/>
      <c r="AF307" s="151"/>
      <c r="AG307" s="171"/>
      <c r="AH307" s="171"/>
      <c r="AI307" s="171"/>
      <c r="AJ307" s="171"/>
      <c r="AK307" s="171"/>
      <c r="AL307" s="151"/>
      <c r="AM307" s="663">
        <f>SUM(AM306)</f>
        <v>137699</v>
      </c>
      <c r="AN307" s="663">
        <f>SUM(AO304)</f>
        <v>137389.85346401227</v>
      </c>
      <c r="AO307" s="663">
        <f>SUM(AN288+AM293)/2</f>
        <v>138660.6570449876</v>
      </c>
      <c r="AP307" s="663">
        <f>SUM(AM293)</f>
        <v>138933.62629748197</v>
      </c>
      <c r="AQ307" s="663">
        <f>SUM(AM294)</f>
        <v>139420.71944529901</v>
      </c>
      <c r="AR307" s="663">
        <f>SUM(((AM307/AN307)+(AO307/AN307))/2)*(AN307+AO307)/2</f>
        <v>138818.88379650988</v>
      </c>
      <c r="AS307" s="663">
        <f>SUM(((AP307/AR307)+(AQ307/AO307))/2*(AP307+AQ307+AR307)/3)</f>
        <v>139496.33265176995</v>
      </c>
      <c r="AT307" s="663">
        <f>SUM(((AS307/AQ307)+(AQ307/AN307))/2*(AN307+AP307+AS307)/3)</f>
        <v>139668.61583634678</v>
      </c>
      <c r="AU307" s="664"/>
      <c r="AV307" s="599"/>
      <c r="AW307" s="599"/>
      <c r="AX307" s="599"/>
      <c r="AY307" s="599"/>
      <c r="AZ307" s="599"/>
      <c r="BA307" s="599"/>
      <c r="BB307" s="599"/>
      <c r="BC307" s="599"/>
      <c r="BD307" s="599"/>
      <c r="BE307" s="502"/>
      <c r="BF307" s="502"/>
      <c r="BG307" s="502"/>
      <c r="BH307" s="502"/>
      <c r="BI307" s="502"/>
      <c r="BJ307" s="502"/>
      <c r="BK307" s="502"/>
      <c r="BL307" s="502"/>
      <c r="BM307" s="502"/>
      <c r="BN307" s="502"/>
      <c r="BO307" s="502"/>
      <c r="BP307" s="502"/>
      <c r="BQ307" s="502"/>
      <c r="BR307" s="502"/>
      <c r="BS307" s="502"/>
      <c r="BT307" s="502"/>
      <c r="BU307" s="502"/>
      <c r="BV307" s="502"/>
      <c r="BW307" s="502"/>
      <c r="BX307" s="502"/>
      <c r="BY307" s="797"/>
      <c r="BZ307" s="797"/>
      <c r="CA307" s="797"/>
      <c r="CB307" s="797"/>
      <c r="CC307" s="797"/>
      <c r="CD307" s="797"/>
      <c r="CE307" s="797"/>
      <c r="CF307" s="797"/>
      <c r="CG307" s="797"/>
      <c r="CH307" s="797"/>
      <c r="CI307" s="797"/>
      <c r="CJ307" s="797"/>
      <c r="CK307" s="797"/>
      <c r="CL307" s="797"/>
      <c r="CM307" s="797"/>
      <c r="CN307" s="797"/>
      <c r="CO307" s="797"/>
      <c r="CP307" s="797"/>
      <c r="CQ307" s="797"/>
      <c r="CR307" s="797"/>
      <c r="CS307" s="797"/>
      <c r="CT307" s="797"/>
      <c r="CU307" s="797"/>
    </row>
    <row r="308" spans="1:99" x14ac:dyDescent="0.25">
      <c r="A308" s="334">
        <f>SUM(D285)</f>
        <v>172305</v>
      </c>
      <c r="B308" s="334">
        <f>SUM(C285)</f>
        <v>172693</v>
      </c>
      <c r="C308" s="333">
        <f>SUM(A294)</f>
        <v>172457.86321486128</v>
      </c>
      <c r="D308" s="333">
        <f>SUM(A287)</f>
        <v>172377.74793555564</v>
      </c>
      <c r="E308" s="333">
        <f>SUM(B288)</f>
        <v>172598.9452975333</v>
      </c>
      <c r="F308" s="334">
        <f>SUM(A308)</f>
        <v>172305</v>
      </c>
      <c r="G308" s="334">
        <f>SUM(B308)</f>
        <v>172693</v>
      </c>
      <c r="H308" s="334">
        <f>SUM(C308)</f>
        <v>172457.86321486128</v>
      </c>
      <c r="I308" s="257"/>
      <c r="J308" s="257"/>
      <c r="K308" s="257"/>
      <c r="L308" s="257"/>
      <c r="M308" s="257"/>
      <c r="N308" s="257"/>
      <c r="O308" s="257"/>
      <c r="P308" s="257"/>
      <c r="Q308" s="257"/>
      <c r="R308" s="257"/>
      <c r="S308" s="151"/>
      <c r="T308" s="171"/>
      <c r="U308" s="171"/>
      <c r="V308" s="171"/>
      <c r="W308" s="171"/>
      <c r="X308" s="171"/>
      <c r="Y308" s="171"/>
      <c r="Z308" s="171"/>
      <c r="AA308" s="171"/>
      <c r="AB308" s="151"/>
      <c r="AC308" s="151"/>
      <c r="AD308" s="151"/>
      <c r="AE308" s="151"/>
      <c r="AF308" s="151"/>
      <c r="AG308" s="171"/>
      <c r="AH308" s="171"/>
      <c r="AI308" s="171"/>
      <c r="AJ308" s="171"/>
      <c r="AK308" s="171"/>
      <c r="AL308" s="151"/>
      <c r="AM308" s="663">
        <f>SUM(AP285)</f>
        <v>137212</v>
      </c>
      <c r="AN308" s="663">
        <f>SUM(AO285)</f>
        <v>137699</v>
      </c>
      <c r="AO308" s="663">
        <f>SUM(AM294)</f>
        <v>139420.71944529901</v>
      </c>
      <c r="AP308" s="663">
        <f>SUM(AM287)</f>
        <v>139344.8148007745</v>
      </c>
      <c r="AQ308" s="663">
        <f>SUM(AN288)</f>
        <v>138387.68779249321</v>
      </c>
      <c r="AR308" s="663">
        <f>SUM(AM308)</f>
        <v>137212</v>
      </c>
      <c r="AS308" s="663">
        <f>SUM(AN308)</f>
        <v>137699</v>
      </c>
      <c r="AT308" s="663">
        <f>SUM(AO308)</f>
        <v>139420.71944529901</v>
      </c>
      <c r="AU308" s="599"/>
      <c r="AV308" s="599"/>
      <c r="AW308" s="599"/>
      <c r="AX308" s="599"/>
      <c r="AY308" s="599"/>
      <c r="AZ308" s="599"/>
      <c r="BA308" s="599"/>
      <c r="BB308" s="599"/>
      <c r="BC308" s="599"/>
      <c r="BD308" s="599"/>
      <c r="BE308" s="502"/>
      <c r="BF308" s="502"/>
      <c r="BG308" s="502"/>
      <c r="BH308" s="502"/>
      <c r="BI308" s="502"/>
      <c r="BJ308" s="502"/>
      <c r="BK308" s="502"/>
      <c r="BL308" s="502"/>
      <c r="BM308" s="502"/>
      <c r="BN308" s="502"/>
      <c r="BO308" s="502"/>
      <c r="BP308" s="502"/>
      <c r="BQ308" s="502"/>
      <c r="BR308" s="502"/>
      <c r="BS308" s="502"/>
      <c r="BT308" s="502"/>
      <c r="BU308" s="502"/>
      <c r="BV308" s="502"/>
      <c r="BW308" s="502"/>
      <c r="BX308" s="502"/>
      <c r="BY308" s="797"/>
      <c r="BZ308" s="797"/>
      <c r="CA308" s="797"/>
      <c r="CB308" s="797"/>
      <c r="CC308" s="797"/>
      <c r="CD308" s="797"/>
      <c r="CE308" s="797"/>
      <c r="CF308" s="797"/>
      <c r="CG308" s="797"/>
      <c r="CH308" s="797"/>
      <c r="CI308" s="797"/>
      <c r="CJ308" s="797"/>
      <c r="CK308" s="797"/>
      <c r="CL308" s="797"/>
      <c r="CM308" s="797"/>
      <c r="CN308" s="797"/>
      <c r="CO308" s="797"/>
      <c r="CP308" s="797"/>
      <c r="CQ308" s="797"/>
      <c r="CR308" s="797"/>
      <c r="CS308" s="797"/>
      <c r="CT308" s="797"/>
      <c r="CU308" s="797"/>
    </row>
    <row r="309" spans="1:99" x14ac:dyDescent="0.25">
      <c r="A309" s="336">
        <f>SUM(H285)</f>
        <v>172282.48959362449</v>
      </c>
      <c r="B309" s="336">
        <f>SUM(G285)</f>
        <v>172321.71359375</v>
      </c>
      <c r="C309" s="336">
        <f>SUM(F285)</f>
        <v>172099.54076004014</v>
      </c>
      <c r="D309" s="336">
        <f>SUM(E285)</f>
        <v>172611.1969676204</v>
      </c>
      <c r="E309" s="336">
        <f>SUM(D285)</f>
        <v>172305</v>
      </c>
      <c r="F309" s="336">
        <f>SUM(C285)</f>
        <v>172693</v>
      </c>
      <c r="G309" s="337">
        <f>SUM(A294)</f>
        <v>172457.86321486128</v>
      </c>
      <c r="H309" s="337">
        <f>SUM(A293)</f>
        <v>172777.26800085552</v>
      </c>
      <c r="I309" s="292"/>
      <c r="J309" s="292"/>
      <c r="K309" s="292"/>
      <c r="L309" s="292"/>
      <c r="M309" s="292"/>
      <c r="N309" s="292"/>
      <c r="O309" s="292"/>
      <c r="P309" s="292"/>
      <c r="Q309" s="292"/>
      <c r="R309" s="292"/>
      <c r="S309" s="151"/>
      <c r="T309" s="171"/>
      <c r="U309" s="171"/>
      <c r="V309" s="171"/>
      <c r="W309" s="171"/>
      <c r="X309" s="171"/>
      <c r="Y309" s="171"/>
      <c r="Z309" s="171"/>
      <c r="AA309" s="171"/>
      <c r="AB309" s="151"/>
      <c r="AC309" s="151"/>
      <c r="AD309" s="151"/>
      <c r="AE309" s="151"/>
      <c r="AF309" s="151"/>
      <c r="AG309" s="171"/>
      <c r="AH309" s="171"/>
      <c r="AI309" s="171"/>
      <c r="AJ309" s="171"/>
      <c r="AK309" s="171"/>
      <c r="AL309" s="151"/>
      <c r="AM309" s="625">
        <f>SUM(AT285)</f>
        <v>137474.44382828186</v>
      </c>
      <c r="AN309" s="625">
        <f>SUM(AS285)</f>
        <v>137514.19942708334</v>
      </c>
      <c r="AO309" s="625">
        <f>SUM(AR285)</f>
        <v>137389.85346401227</v>
      </c>
      <c r="AP309" s="625">
        <f>SUM(AQ285)</f>
        <v>137298.50591287014</v>
      </c>
      <c r="AQ309" s="625">
        <f>SUM(AP285)</f>
        <v>137212</v>
      </c>
      <c r="AR309" s="625">
        <f>SUM(AO285)</f>
        <v>137699</v>
      </c>
      <c r="AS309" s="612">
        <f>SUM(AM294)</f>
        <v>139420.71944529901</v>
      </c>
      <c r="AT309" s="612">
        <f>SUM(AM293)</f>
        <v>138933.62629748197</v>
      </c>
      <c r="AU309" s="598"/>
      <c r="AV309" s="598"/>
      <c r="AW309" s="598"/>
      <c r="AX309" s="598"/>
      <c r="AY309" s="598"/>
      <c r="AZ309" s="598"/>
      <c r="BA309" s="598"/>
      <c r="BB309" s="598"/>
      <c r="BC309" s="598"/>
      <c r="BD309" s="598"/>
      <c r="BE309" s="502"/>
      <c r="BF309" s="502"/>
      <c r="BG309" s="502"/>
      <c r="BH309" s="502"/>
      <c r="BI309" s="502"/>
      <c r="BJ309" s="502"/>
      <c r="BK309" s="502"/>
      <c r="BL309" s="502"/>
      <c r="BM309" s="502"/>
      <c r="BN309" s="502"/>
      <c r="BO309" s="502"/>
      <c r="BP309" s="502"/>
      <c r="BQ309" s="502"/>
      <c r="BR309" s="502"/>
      <c r="BS309" s="502"/>
      <c r="BT309" s="502"/>
      <c r="BU309" s="502"/>
      <c r="BV309" s="502"/>
      <c r="BW309" s="502"/>
      <c r="BX309" s="502"/>
      <c r="BY309" s="797"/>
      <c r="BZ309" s="797"/>
      <c r="CA309" s="797"/>
      <c r="CB309" s="797"/>
      <c r="CC309" s="797"/>
      <c r="CD309" s="797"/>
      <c r="CE309" s="797"/>
      <c r="CF309" s="797"/>
      <c r="CG309" s="797"/>
      <c r="CH309" s="797"/>
      <c r="CI309" s="797"/>
      <c r="CJ309" s="797"/>
      <c r="CK309" s="797"/>
      <c r="CL309" s="797"/>
      <c r="CM309" s="797"/>
      <c r="CN309" s="797"/>
      <c r="CO309" s="797"/>
      <c r="CP309" s="797"/>
      <c r="CQ309" s="797"/>
      <c r="CR309" s="797"/>
      <c r="CS309" s="797"/>
      <c r="CT309" s="797"/>
      <c r="CU309" s="797"/>
    </row>
    <row r="310" spans="1:99" ht="15.75" thickBot="1" x14ac:dyDescent="0.3">
      <c r="A310" s="292"/>
      <c r="B310" s="292"/>
      <c r="C310" s="292"/>
      <c r="D310" s="292"/>
      <c r="E310" s="292"/>
      <c r="F310" s="292"/>
      <c r="G310" s="292"/>
      <c r="H310" s="292"/>
      <c r="I310" s="292"/>
      <c r="J310" s="292"/>
      <c r="K310" s="292"/>
      <c r="L310" s="292"/>
      <c r="M310" s="292"/>
      <c r="N310" s="292"/>
      <c r="O310" s="292"/>
      <c r="P310" s="292"/>
      <c r="Q310" s="292"/>
      <c r="R310" s="292"/>
      <c r="S310" s="151"/>
      <c r="T310" s="171"/>
      <c r="U310" s="171"/>
      <c r="V310" s="171"/>
      <c r="W310" s="171"/>
      <c r="X310" s="171"/>
      <c r="Y310" s="171"/>
      <c r="Z310" s="171"/>
      <c r="AA310" s="171"/>
      <c r="AB310" s="151"/>
      <c r="AC310" s="151"/>
      <c r="AD310" s="151"/>
      <c r="AE310" s="151"/>
      <c r="AF310" s="151"/>
      <c r="AG310" s="171"/>
      <c r="AH310" s="171"/>
      <c r="AI310" s="171"/>
      <c r="AJ310" s="171"/>
      <c r="AK310" s="171"/>
      <c r="AL310" s="151"/>
      <c r="AM310" s="598"/>
      <c r="AN310" s="598"/>
      <c r="AO310" s="598"/>
      <c r="AP310" s="598"/>
      <c r="AQ310" s="598"/>
      <c r="AR310" s="598"/>
      <c r="AS310" s="598"/>
      <c r="AT310" s="598"/>
      <c r="AU310" s="598"/>
      <c r="AV310" s="598"/>
      <c r="AW310" s="598"/>
      <c r="AX310" s="598"/>
      <c r="AY310" s="598"/>
      <c r="AZ310" s="598"/>
      <c r="BA310" s="598"/>
      <c r="BB310" s="598"/>
      <c r="BC310" s="598"/>
      <c r="BD310" s="598"/>
      <c r="BE310" s="502"/>
      <c r="BF310" s="502"/>
      <c r="BG310" s="502"/>
      <c r="BH310" s="502"/>
      <c r="BI310" s="502"/>
      <c r="BJ310" s="502"/>
      <c r="BK310" s="502"/>
      <c r="BL310" s="502"/>
      <c r="BM310" s="502"/>
      <c r="BN310" s="502"/>
      <c r="BO310" s="502"/>
      <c r="BP310" s="502"/>
      <c r="BQ310" s="502"/>
      <c r="BR310" s="502"/>
      <c r="BS310" s="502"/>
      <c r="BT310" s="502"/>
      <c r="BU310" s="502"/>
      <c r="BV310" s="502"/>
      <c r="BW310" s="502"/>
      <c r="BX310" s="502"/>
      <c r="BY310" s="797"/>
      <c r="BZ310" s="797"/>
      <c r="CA310" s="797"/>
      <c r="CB310" s="797"/>
      <c r="CC310" s="797"/>
      <c r="CD310" s="797"/>
      <c r="CE310" s="797"/>
      <c r="CF310" s="797"/>
      <c r="CG310" s="797"/>
      <c r="CH310" s="797"/>
      <c r="CI310" s="797"/>
      <c r="CJ310" s="797"/>
      <c r="CK310" s="797"/>
      <c r="CL310" s="797"/>
      <c r="CM310" s="797"/>
      <c r="CN310" s="797"/>
      <c r="CO310" s="797"/>
      <c r="CP310" s="797"/>
      <c r="CQ310" s="797"/>
      <c r="CR310" s="797"/>
      <c r="CS310" s="797"/>
      <c r="CT310" s="797"/>
      <c r="CU310" s="797"/>
    </row>
    <row r="311" spans="1:99" ht="15.75" thickBot="1" x14ac:dyDescent="0.3">
      <c r="A311" s="338">
        <f>(A323+A319*2)/3</f>
        <v>171458.94791914604</v>
      </c>
      <c r="B311" s="339">
        <f>(A313+A320*2)/3</f>
        <v>171511.67287645713</v>
      </c>
      <c r="C311" s="340">
        <f>C285</f>
        <v>172693</v>
      </c>
      <c r="D311" s="341">
        <f>D285</f>
        <v>172305</v>
      </c>
      <c r="E311" s="342">
        <f>(I323+K319+Q329)/3</f>
        <v>172611.1969676204</v>
      </c>
      <c r="F311" s="342">
        <f>(J323+K321+R330)/3</f>
        <v>172099.54076004014</v>
      </c>
      <c r="G311" s="342">
        <f>G285</f>
        <v>172321.71359375</v>
      </c>
      <c r="H311" s="343">
        <f>H285</f>
        <v>172282.48959362449</v>
      </c>
      <c r="I311" s="256">
        <f>((D312+F312+H312)^0.5)*10000</f>
        <v>13712.066604918235</v>
      </c>
      <c r="J311" s="256">
        <f>INT(I311/3)</f>
        <v>4570</v>
      </c>
      <c r="K311" s="256">
        <f>(J311)/30000</f>
        <v>0.15233333333333332</v>
      </c>
      <c r="L311" s="257"/>
      <c r="M311" s="257"/>
      <c r="N311" s="257"/>
      <c r="O311" s="257"/>
      <c r="P311" s="257"/>
      <c r="Q311" s="257"/>
      <c r="R311" s="257"/>
      <c r="S311" s="151"/>
      <c r="T311" s="152"/>
      <c r="U311" s="154"/>
      <c r="V311" s="154"/>
      <c r="W311" s="154"/>
      <c r="X311" s="154"/>
      <c r="Y311" s="149"/>
      <c r="Z311" s="149"/>
      <c r="AA311" s="149"/>
      <c r="AB311" s="149"/>
      <c r="AC311" s="149"/>
      <c r="AD311" s="149"/>
      <c r="AE311" s="149"/>
      <c r="AF311" s="149"/>
      <c r="AG311" s="149"/>
      <c r="AH311" s="149"/>
      <c r="AI311" s="149"/>
      <c r="AJ311" s="149"/>
      <c r="AK311" s="150"/>
      <c r="AL311" s="151"/>
      <c r="AM311" s="665">
        <f>(AM323+AM319*2)/3</f>
        <v>135611.62384651304</v>
      </c>
      <c r="AN311" s="666">
        <f>(AM313+AM320*2)/3</f>
        <v>135395.84922441861</v>
      </c>
      <c r="AO311" s="667">
        <f>AO285</f>
        <v>137699</v>
      </c>
      <c r="AP311" s="668">
        <f>AP285</f>
        <v>137212</v>
      </c>
      <c r="AQ311" s="669">
        <f>(AU323+AW319+BC329)/3</f>
        <v>137298.50591287014</v>
      </c>
      <c r="AR311" s="669">
        <f>(AV323+AW321+BD330)/3</f>
        <v>137389.85346401227</v>
      </c>
      <c r="AS311" s="669">
        <f>AS285</f>
        <v>137514.19942708334</v>
      </c>
      <c r="AT311" s="670">
        <f>AT285</f>
        <v>137474.44382828186</v>
      </c>
      <c r="AU311" s="598">
        <f>((AP312+AR312+AT312)^0.5)*10000</f>
        <v>15517.885356425739</v>
      </c>
      <c r="AV311" s="598">
        <f>INT(AU311/3)</f>
        <v>5172</v>
      </c>
      <c r="AW311" s="598">
        <f>(AV311)/30000</f>
        <v>0.1724</v>
      </c>
      <c r="AX311" s="599"/>
      <c r="AY311" s="599"/>
      <c r="AZ311" s="599"/>
      <c r="BA311" s="599"/>
      <c r="BB311" s="599"/>
      <c r="BC311" s="599"/>
      <c r="BD311" s="599"/>
      <c r="BE311" s="502"/>
      <c r="BF311" s="503"/>
      <c r="BG311" s="505"/>
      <c r="BH311" s="505"/>
      <c r="BI311" s="505"/>
      <c r="BJ311" s="505"/>
      <c r="BK311" s="500"/>
      <c r="BL311" s="500"/>
      <c r="BM311" s="500"/>
      <c r="BN311" s="500"/>
      <c r="BO311" s="500"/>
      <c r="BP311" s="500"/>
      <c r="BQ311" s="500"/>
      <c r="BR311" s="500"/>
      <c r="BS311" s="500"/>
      <c r="BT311" s="500"/>
      <c r="BU311" s="500"/>
      <c r="BV311" s="500"/>
      <c r="BW311" s="501"/>
      <c r="BX311" s="502"/>
      <c r="BY311" s="797"/>
      <c r="BZ311" s="797"/>
      <c r="CA311" s="797"/>
      <c r="CB311" s="797"/>
      <c r="CC311" s="797"/>
      <c r="CD311" s="797"/>
      <c r="CE311" s="797"/>
      <c r="CF311" s="797"/>
      <c r="CG311" s="797"/>
      <c r="CH311" s="797"/>
      <c r="CI311" s="797"/>
      <c r="CJ311" s="797"/>
      <c r="CK311" s="797"/>
      <c r="CL311" s="797"/>
      <c r="CM311" s="797"/>
      <c r="CN311" s="797"/>
      <c r="CO311" s="797"/>
      <c r="CP311" s="797"/>
      <c r="CQ311" s="797"/>
      <c r="CR311" s="797"/>
      <c r="CS311" s="797"/>
      <c r="CT311" s="797"/>
      <c r="CU311" s="797"/>
    </row>
    <row r="312" spans="1:99" x14ac:dyDescent="0.25">
      <c r="A312" s="344">
        <f>(J314+45/360)^2/100</f>
        <v>171489.16265625</v>
      </c>
      <c r="B312" s="345">
        <f>(A311+A313)/2</f>
        <v>171460.10585376015</v>
      </c>
      <c r="C312" s="346">
        <f>SUM((D312+F312+H312)/3)+((D317+F317+H317)/3)</f>
        <v>0.97969015017345851</v>
      </c>
      <c r="D312" s="264">
        <f>SUM(C311-D311)-D322-E319</f>
        <v>1</v>
      </c>
      <c r="E312" s="347">
        <v>2</v>
      </c>
      <c r="F312" s="266">
        <f>SUM(E311-F311)-D322-E320</f>
        <v>0.65620758026489057</v>
      </c>
      <c r="G312" s="267">
        <f>SUM(H318+H320)/2</f>
        <v>172302.1891872019</v>
      </c>
      <c r="H312" s="268">
        <f>SUM(G311-H311)-D322-E321</f>
        <v>0.22400012551224791</v>
      </c>
      <c r="I312" s="256">
        <f>SUM((D314+F314+H314)^0.5)*10000</f>
        <v>10290.10565904567</v>
      </c>
      <c r="J312" s="256">
        <f>INT(I312/3)</f>
        <v>3430</v>
      </c>
      <c r="K312" s="256">
        <f>J312/10000</f>
        <v>0.34300000000000003</v>
      </c>
      <c r="L312" s="257"/>
      <c r="M312" s="257"/>
      <c r="N312" s="257"/>
      <c r="O312" s="257"/>
      <c r="P312" s="257"/>
      <c r="Q312" s="257"/>
      <c r="R312" s="257"/>
      <c r="S312" s="151"/>
      <c r="T312" s="163"/>
      <c r="U312" s="154"/>
      <c r="V312" s="164"/>
      <c r="W312" s="154"/>
      <c r="X312" s="163"/>
      <c r="Y312" s="165"/>
      <c r="Z312" s="161"/>
      <c r="AA312" s="152"/>
      <c r="AB312" s="161"/>
      <c r="AC312" s="161"/>
      <c r="AD312" s="161"/>
      <c r="AE312" s="161"/>
      <c r="AF312" s="161"/>
      <c r="AG312" s="161"/>
      <c r="AH312" s="161"/>
      <c r="AI312" s="161"/>
      <c r="AJ312" s="162"/>
      <c r="AK312" s="150"/>
      <c r="AL312" s="151"/>
      <c r="AM312" s="671">
        <f>(AV314+45/360)^2/100</f>
        <v>135654.09765625</v>
      </c>
      <c r="AN312" s="672">
        <f>(AM311+AM313)/2</f>
        <v>135478.0957218321</v>
      </c>
      <c r="AO312" s="608">
        <f>SUM((AP312+AR312+AT312)/3)+((AP317+AR317+AT317)/3)</f>
        <v>1.4025509407365462</v>
      </c>
      <c r="AP312" s="605">
        <f>SUM(AO311-AP311)-AP322-AQ319</f>
        <v>1</v>
      </c>
      <c r="AQ312" s="673">
        <v>2</v>
      </c>
      <c r="AR312" s="607">
        <f>SUM(AQ311-AR311)-AP322-AQ320</f>
        <v>0.65244885787251405</v>
      </c>
      <c r="AS312" s="608">
        <f>SUM(AT318+AT320)/2</f>
        <v>137494.61194709322</v>
      </c>
      <c r="AT312" s="605">
        <f>SUM(AS311-AT311)-AP322-AQ321</f>
        <v>0.75559880147920921</v>
      </c>
      <c r="AU312" s="598">
        <f>SUM((AP314+AR314+AT314)^0.5)*10000</f>
        <v>13414.936313147056</v>
      </c>
      <c r="AV312" s="598">
        <f>INT(AU312/3)</f>
        <v>4471</v>
      </c>
      <c r="AW312" s="598">
        <f>AV312/10000</f>
        <v>0.4471</v>
      </c>
      <c r="AX312" s="599"/>
      <c r="AY312" s="599"/>
      <c r="AZ312" s="599"/>
      <c r="BA312" s="599"/>
      <c r="BB312" s="599"/>
      <c r="BC312" s="599"/>
      <c r="BD312" s="599"/>
      <c r="BE312" s="502"/>
      <c r="BF312" s="514"/>
      <c r="BG312" s="505"/>
      <c r="BH312" s="515"/>
      <c r="BI312" s="505"/>
      <c r="BJ312" s="514"/>
      <c r="BK312" s="516"/>
      <c r="BL312" s="512"/>
      <c r="BM312" s="503"/>
      <c r="BN312" s="512"/>
      <c r="BO312" s="512"/>
      <c r="BP312" s="512"/>
      <c r="BQ312" s="512"/>
      <c r="BR312" s="512"/>
      <c r="BS312" s="512"/>
      <c r="BT312" s="512"/>
      <c r="BU312" s="512"/>
      <c r="BV312" s="513"/>
      <c r="BW312" s="501"/>
      <c r="BX312" s="502"/>
      <c r="BY312" s="797"/>
      <c r="BZ312" s="797"/>
      <c r="CA312" s="797"/>
      <c r="CB312" s="797"/>
      <c r="CC312" s="797"/>
      <c r="CD312" s="797"/>
      <c r="CE312" s="797"/>
      <c r="CF312" s="797"/>
      <c r="CG312" s="797"/>
      <c r="CH312" s="797"/>
      <c r="CI312" s="797"/>
      <c r="CJ312" s="797"/>
      <c r="CK312" s="797"/>
      <c r="CL312" s="797"/>
      <c r="CM312" s="797"/>
      <c r="CN312" s="797"/>
      <c r="CO312" s="797"/>
      <c r="CP312" s="797"/>
      <c r="CQ312" s="797"/>
      <c r="CR312" s="797"/>
      <c r="CS312" s="797"/>
      <c r="CT312" s="797"/>
      <c r="CU312" s="797"/>
    </row>
    <row r="313" spans="1:99" ht="15.75" thickBot="1" x14ac:dyDescent="0.3">
      <c r="A313" s="348">
        <f>(A320+K315)/2</f>
        <v>171461.26378837429</v>
      </c>
      <c r="B313" s="349">
        <f>SUM((A320-A322)+A319)/2</f>
        <v>171148.05441642925</v>
      </c>
      <c r="C313" s="346">
        <f>SUM(D318+D320)/2</f>
        <v>172499.11298135834</v>
      </c>
      <c r="D313" s="267">
        <f>SUM(C311+D311)/2</f>
        <v>172499</v>
      </c>
      <c r="E313" s="267">
        <f>SUM(D319+D321)/2</f>
        <v>172499.06014380834</v>
      </c>
      <c r="F313" s="350">
        <f>SUM(E311+F311)/2</f>
        <v>172355.36886383028</v>
      </c>
      <c r="G313" s="267">
        <f>SUM(H319+H321)/2</f>
        <v>172302.07781659561</v>
      </c>
      <c r="H313" s="267">
        <f>SUM(G311+H311)/2</f>
        <v>172302.10159368726</v>
      </c>
      <c r="I313" s="256">
        <f>K312*K311</f>
        <v>5.2250333333333336E-2</v>
      </c>
      <c r="J313" s="256"/>
      <c r="K313" s="256"/>
      <c r="L313" s="257"/>
      <c r="M313" s="257"/>
      <c r="N313" s="257"/>
      <c r="O313" s="257"/>
      <c r="P313" s="257"/>
      <c r="Q313" s="257"/>
      <c r="R313" s="257"/>
      <c r="S313" s="151"/>
      <c r="T313" s="163"/>
      <c r="U313" s="163"/>
      <c r="V313" s="154"/>
      <c r="W313" s="154"/>
      <c r="X313" s="173"/>
      <c r="Y313" s="174"/>
      <c r="Z313" s="161"/>
      <c r="AA313" s="161"/>
      <c r="AB313" s="161"/>
      <c r="AC313" s="161"/>
      <c r="AD313" s="161"/>
      <c r="AE313" s="161"/>
      <c r="AF313" s="161"/>
      <c r="AG313" s="161"/>
      <c r="AH313" s="161"/>
      <c r="AI313" s="161"/>
      <c r="AJ313" s="149"/>
      <c r="AK313" s="171"/>
      <c r="AL313" s="151"/>
      <c r="AM313" s="624">
        <f>(AM320+AW315)/2</f>
        <v>135344.56759715115</v>
      </c>
      <c r="AN313" s="674">
        <f>SUM((AM320-AM322)+AM319)/2</f>
        <v>134829.05656534343</v>
      </c>
      <c r="AO313" s="608">
        <f>SUM(AP318+AP320)/2</f>
        <v>137455.64238951349</v>
      </c>
      <c r="AP313" s="608">
        <f>SUM(AO311+AP311)/2</f>
        <v>137455.5</v>
      </c>
      <c r="AQ313" s="608">
        <f>SUM(AP319+AP321)/2</f>
        <v>137455.56765050651</v>
      </c>
      <c r="AR313" s="675">
        <f>SUM(AQ311+AR311)/2</f>
        <v>137344.17968844122</v>
      </c>
      <c r="AS313" s="608">
        <f>SUM(AT319+AT321)/2</f>
        <v>137494.32859947189</v>
      </c>
      <c r="AT313" s="608">
        <f>SUM(AS311+AT311)/2</f>
        <v>137494.3216276826</v>
      </c>
      <c r="AU313" s="598">
        <f>AW312*AW311</f>
        <v>7.7080040000000002E-2</v>
      </c>
      <c r="AV313" s="598"/>
      <c r="AW313" s="598"/>
      <c r="AX313" s="599"/>
      <c r="AY313" s="599"/>
      <c r="AZ313" s="599"/>
      <c r="BA313" s="599"/>
      <c r="BB313" s="599"/>
      <c r="BC313" s="599"/>
      <c r="BD313" s="599"/>
      <c r="BE313" s="502"/>
      <c r="BF313" s="514"/>
      <c r="BG313" s="514"/>
      <c r="BH313" s="505"/>
      <c r="BI313" s="505"/>
      <c r="BJ313" s="523"/>
      <c r="BK313" s="524"/>
      <c r="BL313" s="512"/>
      <c r="BM313" s="512"/>
      <c r="BN313" s="512"/>
      <c r="BO313" s="512"/>
      <c r="BP313" s="512"/>
      <c r="BQ313" s="512"/>
      <c r="BR313" s="512"/>
      <c r="BS313" s="512"/>
      <c r="BT313" s="512"/>
      <c r="BU313" s="512"/>
      <c r="BV313" s="500"/>
      <c r="BW313" s="502"/>
      <c r="BX313" s="502"/>
      <c r="BY313" s="797"/>
      <c r="BZ313" s="797"/>
      <c r="CA313" s="797"/>
      <c r="CB313" s="797"/>
      <c r="CC313" s="797"/>
      <c r="CD313" s="797"/>
      <c r="CE313" s="797"/>
      <c r="CF313" s="797"/>
      <c r="CG313" s="797"/>
      <c r="CH313" s="797"/>
      <c r="CI313" s="797"/>
      <c r="CJ313" s="797"/>
      <c r="CK313" s="797"/>
      <c r="CL313" s="797"/>
      <c r="CM313" s="797"/>
      <c r="CN313" s="797"/>
      <c r="CO313" s="797"/>
      <c r="CP313" s="797"/>
      <c r="CQ313" s="797"/>
      <c r="CR313" s="797"/>
      <c r="CS313" s="797"/>
      <c r="CT313" s="797"/>
      <c r="CU313" s="797"/>
    </row>
    <row r="314" spans="1:99" ht="15.75" thickBot="1" x14ac:dyDescent="0.3">
      <c r="A314" s="344">
        <f>(B311+A320+B313)/3</f>
        <v>171398.86823779499</v>
      </c>
      <c r="B314" s="752">
        <f>SUM(A320+A322)</f>
        <v>172230.55097986394</v>
      </c>
      <c r="C314" s="346">
        <f>SUM(C313+E314+G312+F328)/4</f>
        <v>172346.39602896781</v>
      </c>
      <c r="D314" s="271">
        <f>SUM((((D313*0.6)-2)/-2)-D323-E322)</f>
        <v>0.30000000000291038</v>
      </c>
      <c r="E314" s="347">
        <f>SUM(F320+F318)/2</f>
        <v>172355.48949867566</v>
      </c>
      <c r="F314" s="271">
        <f>SUM((((F313*0.6)-2)/-2)-D323-E323)</f>
        <v>0.38934085091750603</v>
      </c>
      <c r="G314" s="347"/>
      <c r="H314" s="271">
        <f>SUM((((H313*0.6)-2)/-2)-D323-E324)</f>
        <v>0.36952189382282086</v>
      </c>
      <c r="I314" s="256">
        <f>((A319*100))^0.5</f>
        <v>4140.6872010781644</v>
      </c>
      <c r="J314" s="273">
        <f>INT(I314)+J325</f>
        <v>4141</v>
      </c>
      <c r="K314" s="256">
        <f>((J314)+45/360)^2/100</f>
        <v>171489.16265625</v>
      </c>
      <c r="L314" s="257"/>
      <c r="M314" s="257"/>
      <c r="N314" s="257"/>
      <c r="O314" s="257"/>
      <c r="P314" s="257"/>
      <c r="Q314" s="257"/>
      <c r="R314" s="257"/>
      <c r="S314" s="151"/>
      <c r="T314" s="277"/>
      <c r="U314" s="154"/>
      <c r="V314" s="154"/>
      <c r="W314" s="154"/>
      <c r="X314" s="163"/>
      <c r="Y314" s="174"/>
      <c r="Z314" s="161"/>
      <c r="AA314" s="152"/>
      <c r="AB314" s="161"/>
      <c r="AC314" s="161"/>
      <c r="AD314" s="161"/>
      <c r="AE314" s="161"/>
      <c r="AF314" s="161"/>
      <c r="AG314" s="161"/>
      <c r="AH314" s="161"/>
      <c r="AI314" s="152"/>
      <c r="AJ314" s="162"/>
      <c r="AK314" s="150"/>
      <c r="AL314" s="151"/>
      <c r="AM314" s="671">
        <f>(AN311+AM320+AN313)/3</f>
        <v>135215.46527593813</v>
      </c>
      <c r="AN314" s="754">
        <f>SUM(AM320+AM322)</f>
        <v>136787.99602998348</v>
      </c>
      <c r="AO314" s="608">
        <f>SUM(AO313+AQ314+AS312+AR328)/4</f>
        <v>137413.25119927083</v>
      </c>
      <c r="AP314" s="610">
        <f>SUM((((AP313*0.6)-2)/-2)-AP323-AQ322)</f>
        <v>0.34999999999854481</v>
      </c>
      <c r="AQ314" s="673">
        <f>SUM(AR320+AR318)/2</f>
        <v>137344.47812460113</v>
      </c>
      <c r="AR314" s="610">
        <f>SUM((((AR313*0.6)-2)/-2)-AP323-AQ323)</f>
        <v>0.74609346763463691</v>
      </c>
      <c r="AS314" s="673"/>
      <c r="AT314" s="610">
        <f>SUM((((AT313*0.6)-2)/-2)-AP323-AQ324)</f>
        <v>0.70351169522473356</v>
      </c>
      <c r="AU314" s="598">
        <f>((AM319*100))^0.5</f>
        <v>3682.4330147955934</v>
      </c>
      <c r="AV314" s="612">
        <f>INT(AU314)+AV325</f>
        <v>3683</v>
      </c>
      <c r="AW314" s="598">
        <f>((AV314)+45/360)^2/100</f>
        <v>135654.09765625</v>
      </c>
      <c r="AX314" s="599"/>
      <c r="AY314" s="599"/>
      <c r="AZ314" s="599"/>
      <c r="BA314" s="599"/>
      <c r="BB314" s="599"/>
      <c r="BC314" s="599"/>
      <c r="BD314" s="599"/>
      <c r="BE314" s="502"/>
      <c r="BF314" s="616"/>
      <c r="BG314" s="505"/>
      <c r="BH314" s="505"/>
      <c r="BI314" s="505"/>
      <c r="BJ314" s="514"/>
      <c r="BK314" s="524"/>
      <c r="BL314" s="512"/>
      <c r="BM314" s="503"/>
      <c r="BN314" s="512"/>
      <c r="BO314" s="512"/>
      <c r="BP314" s="512"/>
      <c r="BQ314" s="512"/>
      <c r="BR314" s="512"/>
      <c r="BS314" s="512"/>
      <c r="BT314" s="512"/>
      <c r="BU314" s="503"/>
      <c r="BV314" s="513"/>
      <c r="BW314" s="501"/>
      <c r="BX314" s="502"/>
      <c r="BY314" s="797"/>
      <c r="BZ314" s="797"/>
      <c r="CA314" s="797"/>
      <c r="CB314" s="797"/>
      <c r="CC314" s="797"/>
      <c r="CD314" s="797"/>
      <c r="CE314" s="797"/>
      <c r="CF314" s="797"/>
      <c r="CG314" s="797"/>
      <c r="CH314" s="797"/>
      <c r="CI314" s="797"/>
      <c r="CJ314" s="797"/>
      <c r="CK314" s="797"/>
      <c r="CL314" s="797"/>
      <c r="CM314" s="797"/>
      <c r="CN314" s="797"/>
      <c r="CO314" s="797"/>
      <c r="CP314" s="797"/>
      <c r="CQ314" s="797"/>
      <c r="CR314" s="797"/>
      <c r="CS314" s="797"/>
      <c r="CT314" s="797"/>
      <c r="CU314" s="797"/>
    </row>
    <row r="315" spans="1:99" x14ac:dyDescent="0.25">
      <c r="A315" s="348">
        <f>SUM((C315-B321)/2+C321/2+A316)</f>
        <v>172346.5255135292</v>
      </c>
      <c r="B315" s="348">
        <f>SUM(C320-C321)</f>
        <v>-8.2890697871334851E-2</v>
      </c>
      <c r="C315" s="348">
        <f>SUM(E313+E315+H313+F327)/4</f>
        <v>172346.43747431674</v>
      </c>
      <c r="D315" s="351">
        <f>SUM(((D314*D312)+I313)/2)</f>
        <v>0.17612516666812186</v>
      </c>
      <c r="E315" s="352">
        <f>SUM(F319+F321)/2</f>
        <v>172355.39820495187</v>
      </c>
      <c r="F315" s="351">
        <f>SUM(((F314*F312)+I313)/2)</f>
        <v>0.15386937550609173</v>
      </c>
      <c r="G315" s="353"/>
      <c r="H315" s="276">
        <f>SUM(((H314*H312)+I313)/2)</f>
        <v>6.7511641964584382E-2</v>
      </c>
      <c r="I315" s="256">
        <f>(A320*100)^0.5</f>
        <v>4141.7010686491922</v>
      </c>
      <c r="J315" s="256">
        <f>INT(I315)-J325</f>
        <v>4140</v>
      </c>
      <c r="K315" s="256">
        <f>(J315-45/360)^2/100</f>
        <v>171385.65015624999</v>
      </c>
      <c r="L315" s="257"/>
      <c r="M315" s="257"/>
      <c r="N315" s="257"/>
      <c r="O315" s="257"/>
      <c r="P315" s="257"/>
      <c r="Q315" s="257"/>
      <c r="R315" s="257"/>
      <c r="S315" s="151"/>
      <c r="T315" s="277"/>
      <c r="U315" s="154"/>
      <c r="V315" s="163"/>
      <c r="W315" s="154"/>
      <c r="X315" s="154"/>
      <c r="Y315" s="161"/>
      <c r="Z315" s="161"/>
      <c r="AA315" s="161"/>
      <c r="AB315" s="161"/>
      <c r="AC315" s="161"/>
      <c r="AD315" s="161"/>
      <c r="AE315" s="161"/>
      <c r="AF315" s="161"/>
      <c r="AG315" s="164"/>
      <c r="AH315" s="152"/>
      <c r="AI315" s="152"/>
      <c r="AJ315" s="162"/>
      <c r="AK315" s="171"/>
      <c r="AL315" s="151"/>
      <c r="AM315" s="624">
        <f>SUM((AO315-AN321)/2+AO321/2+AM316)</f>
        <v>137413.52400864425</v>
      </c>
      <c r="AN315" s="624">
        <f>SUM(AO320-AO321)</f>
        <v>-5.6171267904574051E-2</v>
      </c>
      <c r="AO315" s="624">
        <f>SUM(AQ313+AQ315+AT313+AR327)/4</f>
        <v>137413.27928490477</v>
      </c>
      <c r="AP315" s="676">
        <f>SUM(((AP314*AP312)+AU313)/2)</f>
        <v>0.21354001999927241</v>
      </c>
      <c r="AQ315" s="677">
        <f>SUM(AR319+AR321)/2</f>
        <v>137344.15572528203</v>
      </c>
      <c r="AR315" s="676">
        <f>SUM(((AR314*AR312)+AU313)/2)</f>
        <v>0.2819339354121812</v>
      </c>
      <c r="AS315" s="678"/>
      <c r="AT315" s="615">
        <f>SUM(((AT314*AT312)+AU313)/2)</f>
        <v>0.30432631686920769</v>
      </c>
      <c r="AU315" s="598">
        <f>(AM320*100)^0.5</f>
        <v>3679.9658970981286</v>
      </c>
      <c r="AV315" s="598">
        <f>INT(AU315)-AV325</f>
        <v>3678</v>
      </c>
      <c r="AW315" s="598">
        <f>(AV315-45/360)^2/100</f>
        <v>135267.64515624999</v>
      </c>
      <c r="AX315" s="599"/>
      <c r="AY315" s="599"/>
      <c r="AZ315" s="599"/>
      <c r="BA315" s="599"/>
      <c r="BB315" s="599"/>
      <c r="BC315" s="599"/>
      <c r="BD315" s="599"/>
      <c r="BE315" s="502"/>
      <c r="BF315" s="616"/>
      <c r="BG315" s="505"/>
      <c r="BH315" s="514"/>
      <c r="BI315" s="505"/>
      <c r="BJ315" s="505"/>
      <c r="BK315" s="512"/>
      <c r="BL315" s="512"/>
      <c r="BM315" s="512"/>
      <c r="BN315" s="512"/>
      <c r="BO315" s="512"/>
      <c r="BP315" s="512"/>
      <c r="BQ315" s="512"/>
      <c r="BR315" s="512"/>
      <c r="BS315" s="515"/>
      <c r="BT315" s="503"/>
      <c r="BU315" s="503"/>
      <c r="BV315" s="513"/>
      <c r="BW315" s="502"/>
      <c r="BX315" s="502"/>
      <c r="BY315" s="797"/>
      <c r="BZ315" s="797"/>
      <c r="CA315" s="797"/>
      <c r="CB315" s="797"/>
      <c r="CC315" s="797"/>
      <c r="CD315" s="797"/>
      <c r="CE315" s="797"/>
      <c r="CF315" s="797"/>
      <c r="CG315" s="797"/>
      <c r="CH315" s="797"/>
      <c r="CI315" s="797"/>
      <c r="CJ315" s="797"/>
      <c r="CK315" s="797"/>
      <c r="CL315" s="797"/>
      <c r="CM315" s="797"/>
      <c r="CN315" s="797"/>
      <c r="CO315" s="797"/>
      <c r="CP315" s="797"/>
      <c r="CQ315" s="797"/>
      <c r="CR315" s="797"/>
      <c r="CS315" s="797"/>
      <c r="CT315" s="797"/>
      <c r="CU315" s="797"/>
    </row>
    <row r="316" spans="1:99" ht="15.75" thickBot="1" x14ac:dyDescent="0.3">
      <c r="A316" s="348">
        <f>SUM(((A324+B321)/2)*(B319/(C314*C315)))*3.33</f>
        <v>5.6955198263029465E-2</v>
      </c>
      <c r="B316" s="354">
        <f>SUM(C320-B324)</f>
        <v>172346.16071644475</v>
      </c>
      <c r="C316" s="355">
        <f>SUM(((C314-C315)-2)/2+C317)</f>
        <v>-1.0207226744678337</v>
      </c>
      <c r="D316" s="282">
        <f>SUM(D315*D314)/D312</f>
        <v>5.2837550000949147E-2</v>
      </c>
      <c r="E316" s="282"/>
      <c r="F316" s="267">
        <f>SUM(F315*F314)/F312</f>
        <v>9.1293723802312932E-2</v>
      </c>
      <c r="G316" s="282"/>
      <c r="H316" s="267">
        <f>SUM(H315*H314)/H312</f>
        <v>0.11137060631904597</v>
      </c>
      <c r="I316" s="256">
        <f>(A319+B318)/2</f>
        <v>171899.671223021</v>
      </c>
      <c r="J316" s="256"/>
      <c r="K316" s="256"/>
      <c r="L316" s="257"/>
      <c r="M316" s="257"/>
      <c r="N316" s="257"/>
      <c r="O316" s="257"/>
      <c r="P316" s="257"/>
      <c r="Q316" s="257"/>
      <c r="R316" s="257"/>
      <c r="S316" s="151"/>
      <c r="T316" s="277"/>
      <c r="U316" s="154"/>
      <c r="V316" s="154"/>
      <c r="W316" s="154"/>
      <c r="X316" s="154"/>
      <c r="Y316" s="161"/>
      <c r="Z316" s="161"/>
      <c r="AA316" s="161"/>
      <c r="AB316" s="161"/>
      <c r="AC316" s="161"/>
      <c r="AD316" s="161"/>
      <c r="AE316" s="161"/>
      <c r="AF316" s="161"/>
      <c r="AG316" s="161"/>
      <c r="AH316" s="152"/>
      <c r="AI316" s="152"/>
      <c r="AJ316" s="174"/>
      <c r="AK316" s="171"/>
      <c r="AL316" s="151"/>
      <c r="AM316" s="624">
        <f>SUM(((AM324+AN321)/2)*(AN319/(AO314*AO315)))*3.33</f>
        <v>0.22365951257447503</v>
      </c>
      <c r="AN316" s="679">
        <f>SUM(AO320-AN324)</f>
        <v>137413.02933451641</v>
      </c>
      <c r="AO316" s="680">
        <f>SUM(((AO314-AO315)-2)/2+AO317)</f>
        <v>-1.0140428169688676</v>
      </c>
      <c r="AP316" s="620">
        <f>SUM(AP315*AP314)/AP312</f>
        <v>7.4739006999434601E-2</v>
      </c>
      <c r="AQ316" s="620"/>
      <c r="AR316" s="608">
        <f>SUM(AR315*AR314)/AR312</f>
        <v>0.32239931908449354</v>
      </c>
      <c r="AS316" s="620"/>
      <c r="AT316" s="608">
        <f>SUM(AT315*AT314)/AT312</f>
        <v>0.28334762133426539</v>
      </c>
      <c r="AU316" s="598">
        <f>(AM319+AN318)/2</f>
        <v>136508.20418473519</v>
      </c>
      <c r="AV316" s="598"/>
      <c r="AW316" s="598"/>
      <c r="AX316" s="599"/>
      <c r="AY316" s="599"/>
      <c r="AZ316" s="599"/>
      <c r="BA316" s="599"/>
      <c r="BB316" s="599"/>
      <c r="BC316" s="599"/>
      <c r="BD316" s="599"/>
      <c r="BE316" s="502"/>
      <c r="BF316" s="616"/>
      <c r="BG316" s="505"/>
      <c r="BH316" s="505"/>
      <c r="BI316" s="505"/>
      <c r="BJ316" s="505"/>
      <c r="BK316" s="512"/>
      <c r="BL316" s="512"/>
      <c r="BM316" s="512"/>
      <c r="BN316" s="512"/>
      <c r="BO316" s="512"/>
      <c r="BP316" s="512"/>
      <c r="BQ316" s="512"/>
      <c r="BR316" s="512"/>
      <c r="BS316" s="512"/>
      <c r="BT316" s="503"/>
      <c r="BU316" s="503"/>
      <c r="BV316" s="524"/>
      <c r="BW316" s="502"/>
      <c r="BX316" s="502"/>
      <c r="BY316" s="797"/>
      <c r="BZ316" s="797"/>
      <c r="CA316" s="797"/>
      <c r="CB316" s="797"/>
      <c r="CC316" s="797"/>
      <c r="CD316" s="797"/>
      <c r="CE316" s="797"/>
      <c r="CF316" s="797"/>
      <c r="CG316" s="797"/>
      <c r="CH316" s="797"/>
      <c r="CI316" s="797"/>
      <c r="CJ316" s="797"/>
      <c r="CK316" s="797"/>
      <c r="CL316" s="797"/>
      <c r="CM316" s="797"/>
      <c r="CN316" s="797"/>
      <c r="CO316" s="797"/>
      <c r="CP316" s="797"/>
      <c r="CQ316" s="797"/>
      <c r="CR316" s="797"/>
      <c r="CS316" s="797"/>
      <c r="CT316" s="797"/>
      <c r="CU316" s="797"/>
    </row>
    <row r="317" spans="1:99" ht="15.75" thickBot="1" x14ac:dyDescent="0.3">
      <c r="A317" s="263">
        <f>SUM(A319+A320+A318)/3+A321*-1</f>
        <v>171778.73891440948</v>
      </c>
      <c r="B317" s="263">
        <f>SUM(C321+B324)</f>
        <v>172346.67278684975</v>
      </c>
      <c r="C317" s="348">
        <f>SUM(E325)</f>
        <v>0</v>
      </c>
      <c r="D317" s="282">
        <f>SUM(D314)</f>
        <v>0.30000000000291038</v>
      </c>
      <c r="E317" s="356">
        <f t="shared" ref="E317:E324" si="8">E291</f>
        <v>-51492</v>
      </c>
      <c r="F317" s="267">
        <f>SUM(F314)</f>
        <v>0.38934085091750603</v>
      </c>
      <c r="G317" s="282">
        <f>SUM((C311+E311+G311+G318)/4+(D311+F311+H311+H327)/4)/2*G322</f>
        <v>172728.19320101483</v>
      </c>
      <c r="H317" s="267">
        <f>SUM(H314)</f>
        <v>0.36952189382282086</v>
      </c>
      <c r="I317" s="256">
        <f>(A320+B322)/2</f>
        <v>167411.59181537671</v>
      </c>
      <c r="J317" s="256"/>
      <c r="K317" s="283">
        <f>H323</f>
        <v>45</v>
      </c>
      <c r="L317" s="257"/>
      <c r="M317" s="257"/>
      <c r="N317" s="257"/>
      <c r="O317" s="257"/>
      <c r="P317" s="257"/>
      <c r="Q317" s="257"/>
      <c r="R317" s="257"/>
      <c r="S317" s="151"/>
      <c r="T317" s="163"/>
      <c r="U317" s="163"/>
      <c r="V317" s="163"/>
      <c r="W317" s="163"/>
      <c r="X317" s="163"/>
      <c r="Y317" s="152"/>
      <c r="Z317" s="152"/>
      <c r="AA317" s="161"/>
      <c r="AB317" s="161"/>
      <c r="AC317" s="161"/>
      <c r="AD317" s="161"/>
      <c r="AE317" s="161"/>
      <c r="AF317" s="161"/>
      <c r="AG317" s="161"/>
      <c r="AH317" s="161"/>
      <c r="AI317" s="152"/>
      <c r="AJ317" s="149"/>
      <c r="AK317" s="171"/>
      <c r="AL317" s="151"/>
      <c r="AM317" s="604">
        <f>SUM(AM319+AM320+AM318)/3+AM321*-1</f>
        <v>136145.92838057069</v>
      </c>
      <c r="AN317" s="604">
        <f>SUM(AO321+AN324)</f>
        <v>137413.50114966492</v>
      </c>
      <c r="AO317" s="624">
        <f>SUM(AQ325)</f>
        <v>0</v>
      </c>
      <c r="AP317" s="620">
        <f>SUM(AP314)</f>
        <v>0.34999999999854481</v>
      </c>
      <c r="AQ317" s="681">
        <f t="shared" ref="AQ317:AQ324" si="9">AQ291</f>
        <v>-41211</v>
      </c>
      <c r="AR317" s="608">
        <f>SUM(AR314)</f>
        <v>0.74609346763463691</v>
      </c>
      <c r="AS317" s="620">
        <f>SUM((AO311+AQ311+AS311+AS318)/4+(AP311+AR311+AT311+AT327)/4)/2*AS322</f>
        <v>137590.25719131136</v>
      </c>
      <c r="AT317" s="608">
        <f>SUM(AT314)</f>
        <v>0.70351169522473356</v>
      </c>
      <c r="AU317" s="598">
        <f>(AM320+AN322)/2</f>
        <v>120816.6763043713</v>
      </c>
      <c r="AV317" s="598"/>
      <c r="AW317" s="621">
        <f>AT323</f>
        <v>45</v>
      </c>
      <c r="AX317" s="599"/>
      <c r="AY317" s="599"/>
      <c r="AZ317" s="599"/>
      <c r="BA317" s="599"/>
      <c r="BB317" s="599"/>
      <c r="BC317" s="599"/>
      <c r="BD317" s="599"/>
      <c r="BE317" s="502"/>
      <c r="BF317" s="514"/>
      <c r="BG317" s="514"/>
      <c r="BH317" s="514"/>
      <c r="BI317" s="514"/>
      <c r="BJ317" s="514"/>
      <c r="BK317" s="503"/>
      <c r="BL317" s="503"/>
      <c r="BM317" s="512"/>
      <c r="BN317" s="512"/>
      <c r="BO317" s="512"/>
      <c r="BP317" s="512"/>
      <c r="BQ317" s="512"/>
      <c r="BR317" s="512"/>
      <c r="BS317" s="512"/>
      <c r="BT317" s="512"/>
      <c r="BU317" s="503"/>
      <c r="BV317" s="500"/>
      <c r="BW317" s="502"/>
      <c r="BX317" s="502"/>
      <c r="BY317" s="797"/>
      <c r="BZ317" s="797"/>
      <c r="CA317" s="797"/>
      <c r="CB317" s="797"/>
      <c r="CC317" s="797"/>
      <c r="CD317" s="797"/>
      <c r="CE317" s="797"/>
      <c r="CF317" s="797"/>
      <c r="CG317" s="797"/>
      <c r="CH317" s="797"/>
      <c r="CI317" s="797"/>
      <c r="CJ317" s="797"/>
      <c r="CK317" s="797"/>
      <c r="CL317" s="797"/>
      <c r="CM317" s="797"/>
      <c r="CN317" s="797"/>
      <c r="CO317" s="797"/>
      <c r="CP317" s="797"/>
      <c r="CQ317" s="797"/>
      <c r="CR317" s="797"/>
      <c r="CS317" s="797"/>
      <c r="CT317" s="797"/>
      <c r="CU317" s="797"/>
    </row>
    <row r="318" spans="1:99" x14ac:dyDescent="0.25">
      <c r="A318" s="334">
        <f>SUM((C315-B321)/2+C321/2+A321)</f>
        <v>172346.48566199408</v>
      </c>
      <c r="B318" s="348">
        <f>SUM(C314-B321)</f>
        <v>172346.43747431674</v>
      </c>
      <c r="C318" s="348">
        <f>SUM((D316+F316+H316+M321)*C316)/4</f>
        <v>-8.8280249091107224E-2</v>
      </c>
      <c r="D318" s="269">
        <f>SUM(C311+D315)</f>
        <v>172693.17612516668</v>
      </c>
      <c r="E318" s="357">
        <f t="shared" si="8"/>
        <v>1349</v>
      </c>
      <c r="F318" s="286">
        <f>SUM(E311+F315)</f>
        <v>172611.3508369959</v>
      </c>
      <c r="G318" s="282">
        <f>SUM(H327/G319)*G320</f>
        <v>172659.69777246285</v>
      </c>
      <c r="H318" s="286">
        <f>SUM(G311+H315)</f>
        <v>172321.78110539197</v>
      </c>
      <c r="I318" s="287">
        <f>C311^0.5</f>
        <v>415.56347288952139</v>
      </c>
      <c r="J318" s="283">
        <f>INT(I318)</f>
        <v>415</v>
      </c>
      <c r="K318" s="256">
        <f>(I318+K317/360)^2</f>
        <v>172796.90649322237</v>
      </c>
      <c r="L318" s="257"/>
      <c r="M318" s="257"/>
      <c r="N318" s="257"/>
      <c r="O318" s="257"/>
      <c r="P318" s="257"/>
      <c r="Q318" s="257"/>
      <c r="R318" s="257"/>
      <c r="S318" s="151"/>
      <c r="T318" s="163"/>
      <c r="U318" s="163"/>
      <c r="V318" s="154"/>
      <c r="W318" s="154"/>
      <c r="X318" s="154"/>
      <c r="Y318" s="161"/>
      <c r="Z318" s="161"/>
      <c r="AA318" s="161"/>
      <c r="AB318" s="161"/>
      <c r="AC318" s="161"/>
      <c r="AD318" s="161"/>
      <c r="AE318" s="161"/>
      <c r="AF318" s="161"/>
      <c r="AG318" s="161"/>
      <c r="AH318" s="161"/>
      <c r="AI318" s="152"/>
      <c r="AJ318" s="149"/>
      <c r="AK318" s="171"/>
      <c r="AL318" s="151"/>
      <c r="AM318" s="663">
        <f>SUM((AO315-AN321)/2+AO321/2+AM321)</f>
        <v>137413.36751415045</v>
      </c>
      <c r="AN318" s="624">
        <f>SUM(AO314-AN321)</f>
        <v>137413.27928490477</v>
      </c>
      <c r="AO318" s="624">
        <f>SUM((AP316+AR316+AT316+AY321)*AO316)/4</f>
        <v>-0.30903613148973591</v>
      </c>
      <c r="AP318" s="604">
        <f>SUM(AO311+AP315)</f>
        <v>137699.21354001999</v>
      </c>
      <c r="AQ318" s="682">
        <f t="shared" si="9"/>
        <v>647</v>
      </c>
      <c r="AR318" s="624">
        <f>SUM(AQ311+AR315)</f>
        <v>137298.78784680556</v>
      </c>
      <c r="AS318" s="620">
        <f>SUM(AT327/AS319)*AS320</f>
        <v>137558.71572753551</v>
      </c>
      <c r="AT318" s="624">
        <f>SUM(AS311+AT315)</f>
        <v>137514.5037534002</v>
      </c>
      <c r="AU318" s="625">
        <f>AO311^0.5</f>
        <v>371.07815888300405</v>
      </c>
      <c r="AV318" s="621">
        <f>INT(AU318)</f>
        <v>371</v>
      </c>
      <c r="AW318" s="598">
        <f>(AU318+AW317/360)^2</f>
        <v>137791.78516472076</v>
      </c>
      <c r="AX318" s="599"/>
      <c r="AY318" s="599"/>
      <c r="AZ318" s="599"/>
      <c r="BA318" s="599"/>
      <c r="BB318" s="599"/>
      <c r="BC318" s="599"/>
      <c r="BD318" s="599"/>
      <c r="BE318" s="502"/>
      <c r="BF318" s="514"/>
      <c r="BG318" s="514"/>
      <c r="BH318" s="505"/>
      <c r="BI318" s="505"/>
      <c r="BJ318" s="505"/>
      <c r="BK318" s="512"/>
      <c r="BL318" s="512"/>
      <c r="BM318" s="512"/>
      <c r="BN318" s="512"/>
      <c r="BO318" s="512"/>
      <c r="BP318" s="512"/>
      <c r="BQ318" s="512"/>
      <c r="BR318" s="512"/>
      <c r="BS318" s="512"/>
      <c r="BT318" s="512"/>
      <c r="BU318" s="503"/>
      <c r="BV318" s="500"/>
      <c r="BW318" s="502"/>
      <c r="BX318" s="502"/>
      <c r="BY318" s="797"/>
      <c r="BZ318" s="797"/>
      <c r="CA318" s="797"/>
      <c r="CB318" s="797"/>
      <c r="CC318" s="797"/>
      <c r="CD318" s="797"/>
      <c r="CE318" s="797"/>
      <c r="CF318" s="797"/>
      <c r="CG318" s="797"/>
      <c r="CH318" s="797"/>
      <c r="CI318" s="797"/>
      <c r="CJ318" s="797"/>
      <c r="CK318" s="797"/>
      <c r="CL318" s="797"/>
      <c r="CM318" s="797"/>
      <c r="CN318" s="797"/>
      <c r="CO318" s="797"/>
      <c r="CP318" s="797"/>
      <c r="CQ318" s="797"/>
      <c r="CR318" s="797"/>
      <c r="CS318" s="797"/>
      <c r="CT318" s="797"/>
      <c r="CU318" s="797"/>
    </row>
    <row r="319" spans="1:99" x14ac:dyDescent="0.25">
      <c r="A319" s="358">
        <f>SUM((B320++A326+B322+A320)/4)</f>
        <v>171452.90497172525</v>
      </c>
      <c r="B319" s="346">
        <f>SUM(C314+C315)/2^(C318*C325)/2</f>
        <v>166234.09089328357</v>
      </c>
      <c r="C319" s="359">
        <f>SUM(C318*C316)-2/2+C322</f>
        <v>0.59010965195496157</v>
      </c>
      <c r="D319" s="269">
        <f>SUM(D318-D316)</f>
        <v>172693.12328761668</v>
      </c>
      <c r="E319" s="360">
        <f t="shared" si="8"/>
        <v>387</v>
      </c>
      <c r="F319" s="286">
        <f>SUM(F318-F316)</f>
        <v>172611.25954327211</v>
      </c>
      <c r="G319" s="282">
        <f>SUM(G321/G322)</f>
        <v>172190.22138391237</v>
      </c>
      <c r="H319" s="286">
        <f>SUM(H318-H316)</f>
        <v>172321.66973478565</v>
      </c>
      <c r="I319" s="283">
        <f>J318</f>
        <v>415</v>
      </c>
      <c r="J319" s="256">
        <f>(I319-K317/360)^2</f>
        <v>172121.265625</v>
      </c>
      <c r="K319" s="256">
        <f>(K318+D311)/2</f>
        <v>172550.95324661117</v>
      </c>
      <c r="L319" s="257"/>
      <c r="M319" s="257"/>
      <c r="N319" s="257"/>
      <c r="O319" s="257"/>
      <c r="P319" s="257"/>
      <c r="Q319" s="257"/>
      <c r="R319" s="257"/>
      <c r="S319" s="151"/>
      <c r="T319" s="163"/>
      <c r="U319" s="154"/>
      <c r="V319" s="154"/>
      <c r="W319" s="154"/>
      <c r="X319" s="154"/>
      <c r="Y319" s="161"/>
      <c r="Z319" s="161"/>
      <c r="AA319" s="191"/>
      <c r="AB319" s="161"/>
      <c r="AC319" s="161"/>
      <c r="AD319" s="161"/>
      <c r="AE319" s="161"/>
      <c r="AF319" s="161"/>
      <c r="AG319" s="161"/>
      <c r="AH319" s="152"/>
      <c r="AI319" s="161"/>
      <c r="AJ319" s="162"/>
      <c r="AK319" s="171"/>
      <c r="AL319" s="151"/>
      <c r="AM319" s="683">
        <f>SUM((AN320++AM326+AN322+AM320)/4)</f>
        <v>135603.12908456565</v>
      </c>
      <c r="AN319" s="608">
        <f>SUM(AO314+AO315)/2^(AO318*AO325)/2</f>
        <v>115441.24386574919</v>
      </c>
      <c r="AO319" s="676">
        <f>SUM(AO318*AO316)-2/2+AO322</f>
        <v>0.81337586932101313</v>
      </c>
      <c r="AP319" s="604">
        <f>SUM(AP318-AP316)</f>
        <v>137699.138801013</v>
      </c>
      <c r="AQ319" s="684">
        <f t="shared" si="9"/>
        <v>486</v>
      </c>
      <c r="AR319" s="624">
        <f>SUM(AR318-AR316)</f>
        <v>137298.46544748647</v>
      </c>
      <c r="AS319" s="620">
        <f>SUM(AS321/AS322)</f>
        <v>137341.0015455441</v>
      </c>
      <c r="AT319" s="624">
        <f>SUM(AT318-AT316)</f>
        <v>137514.22040577888</v>
      </c>
      <c r="AU319" s="621">
        <f>AV318</f>
        <v>371</v>
      </c>
      <c r="AV319" s="598">
        <f>(AU319-AW317/360)^2</f>
        <v>137548.265625</v>
      </c>
      <c r="AW319" s="598">
        <f>(AW318+AP311)/2</f>
        <v>137501.89258236036</v>
      </c>
      <c r="AX319" s="599"/>
      <c r="AY319" s="599"/>
      <c r="AZ319" s="599"/>
      <c r="BA319" s="599"/>
      <c r="BB319" s="599"/>
      <c r="BC319" s="599"/>
      <c r="BD319" s="599"/>
      <c r="BE319" s="502"/>
      <c r="BF319" s="514"/>
      <c r="BG319" s="505"/>
      <c r="BH319" s="505"/>
      <c r="BI319" s="505"/>
      <c r="BJ319" s="505"/>
      <c r="BK319" s="512"/>
      <c r="BL319" s="512"/>
      <c r="BM319" s="542"/>
      <c r="BN319" s="512"/>
      <c r="BO319" s="512"/>
      <c r="BP319" s="512"/>
      <c r="BQ319" s="512"/>
      <c r="BR319" s="512"/>
      <c r="BS319" s="512"/>
      <c r="BT319" s="503"/>
      <c r="BU319" s="512"/>
      <c r="BV319" s="513"/>
      <c r="BW319" s="502"/>
      <c r="BX319" s="502"/>
      <c r="BY319" s="797"/>
      <c r="BZ319" s="797"/>
      <c r="CA319" s="797"/>
      <c r="CB319" s="797"/>
      <c r="CC319" s="797"/>
      <c r="CD319" s="797"/>
      <c r="CE319" s="797"/>
      <c r="CF319" s="797"/>
      <c r="CG319" s="797"/>
      <c r="CH319" s="797"/>
      <c r="CI319" s="797"/>
      <c r="CJ319" s="797"/>
      <c r="CK319" s="797"/>
      <c r="CL319" s="797"/>
      <c r="CM319" s="797"/>
      <c r="CN319" s="797"/>
      <c r="CO319" s="797"/>
      <c r="CP319" s="797"/>
      <c r="CQ319" s="797"/>
      <c r="CR319" s="797"/>
      <c r="CS319" s="797"/>
      <c r="CT319" s="797"/>
      <c r="CU319" s="797"/>
    </row>
    <row r="320" spans="1:99" x14ac:dyDescent="0.25">
      <c r="A320" s="358">
        <f>(B316+B317+B318+B319+B320+B322+B323)/7</f>
        <v>171536.87742049858</v>
      </c>
      <c r="B320" s="346">
        <f>SUM(C314+C315)/2^(C318*C319)/2</f>
        <v>178683.48909369754</v>
      </c>
      <c r="C320" s="348">
        <f>SUM(C314+C315)/2*(C314/C315)</f>
        <v>172346.37530629832</v>
      </c>
      <c r="D320" s="269">
        <f>SUM(D321+D316)</f>
        <v>172305.04983755</v>
      </c>
      <c r="E320" s="360">
        <f t="shared" si="8"/>
        <v>511</v>
      </c>
      <c r="F320" s="286">
        <f>SUM(F321+F316)</f>
        <v>172099.62816035541</v>
      </c>
      <c r="G320" s="282">
        <f>SUM(H327+G323+G321)/3</f>
        <v>172503.1109695232</v>
      </c>
      <c r="H320" s="286">
        <f>SUM(H321+H316)</f>
        <v>172282.59726901187</v>
      </c>
      <c r="I320" s="256">
        <f>(D311^0.5)</f>
        <v>415.09637435178831</v>
      </c>
      <c r="J320" s="256">
        <f>INT(I320)</f>
        <v>415</v>
      </c>
      <c r="K320" s="256">
        <f>(J320+K317/360)^2</f>
        <v>172328.765625</v>
      </c>
      <c r="L320" s="361">
        <f>SUM((((L321*0.6)-2)/-2))-E317</f>
        <v>0.40000000000145519</v>
      </c>
      <c r="M320" s="292">
        <f>SUM(((L322*L320)+I313)/2)</f>
        <v>0.22612516666739427</v>
      </c>
      <c r="N320" s="257"/>
      <c r="O320" s="257"/>
      <c r="P320" s="257"/>
      <c r="Q320" s="257"/>
      <c r="R320" s="257"/>
      <c r="S320" s="151"/>
      <c r="T320" s="163"/>
      <c r="U320" s="154"/>
      <c r="V320" s="154"/>
      <c r="W320" s="163"/>
      <c r="X320" s="163"/>
      <c r="Y320" s="191"/>
      <c r="Z320" s="191"/>
      <c r="AA320" s="191"/>
      <c r="AB320" s="191"/>
      <c r="AC320" s="191"/>
      <c r="AD320" s="191"/>
      <c r="AE320" s="191"/>
      <c r="AF320" s="191"/>
      <c r="AG320" s="191"/>
      <c r="AH320" s="152"/>
      <c r="AI320" s="152"/>
      <c r="AJ320" s="149"/>
      <c r="AK320" s="171"/>
      <c r="AL320" s="151"/>
      <c r="AM320" s="683">
        <f>(AN316+AN317+AN318+AN319+AN320+AN322+AN323)/7</f>
        <v>135421.49003805235</v>
      </c>
      <c r="AN320" s="608">
        <f>SUM(AO314+AO315)/2^(AO318*AO319)/2</f>
        <v>163567.23846852698</v>
      </c>
      <c r="AO320" s="624">
        <f>SUM(AO314+AO315)/2*(AO314/AO315)</f>
        <v>137413.23715645671</v>
      </c>
      <c r="AP320" s="604">
        <f>SUM(AP321+AP316)</f>
        <v>137212.071239007</v>
      </c>
      <c r="AQ320" s="684">
        <f t="shared" si="9"/>
        <v>-92</v>
      </c>
      <c r="AR320" s="624">
        <f>SUM(AR321+AR316)</f>
        <v>137390.1684023967</v>
      </c>
      <c r="AS320" s="620">
        <f>SUM(AT327+AS323+AS321)/3</f>
        <v>137486.11879140238</v>
      </c>
      <c r="AT320" s="624">
        <f>SUM(AT321+AT316)</f>
        <v>137474.72014078623</v>
      </c>
      <c r="AU320" s="598">
        <f>(AP311^0.5)</f>
        <v>370.42138167227876</v>
      </c>
      <c r="AV320" s="598">
        <f>INT(AU320)</f>
        <v>370</v>
      </c>
      <c r="AW320" s="598">
        <f>(AV320+AW317/360)^2</f>
        <v>136992.515625</v>
      </c>
      <c r="AX320" s="685">
        <f>SUM((((AX321*0.6)-2)/-2))-AQ317</f>
        <v>1</v>
      </c>
      <c r="AY320" s="598">
        <f>SUM(((AX322*AX320)+AU313)/2)</f>
        <v>0.53854002000000001</v>
      </c>
      <c r="AZ320" s="599"/>
      <c r="BA320" s="599"/>
      <c r="BB320" s="599"/>
      <c r="BC320" s="599"/>
      <c r="BD320" s="599"/>
      <c r="BE320" s="502"/>
      <c r="BF320" s="514"/>
      <c r="BG320" s="505"/>
      <c r="BH320" s="505"/>
      <c r="BI320" s="514"/>
      <c r="BJ320" s="514"/>
      <c r="BK320" s="542"/>
      <c r="BL320" s="542"/>
      <c r="BM320" s="542"/>
      <c r="BN320" s="542"/>
      <c r="BO320" s="542"/>
      <c r="BP320" s="542"/>
      <c r="BQ320" s="542"/>
      <c r="BR320" s="542"/>
      <c r="BS320" s="542"/>
      <c r="BT320" s="503"/>
      <c r="BU320" s="503"/>
      <c r="BV320" s="500"/>
      <c r="BW320" s="502"/>
      <c r="BX320" s="502"/>
      <c r="BY320" s="797"/>
      <c r="BZ320" s="797"/>
      <c r="CA320" s="797"/>
      <c r="CB320" s="797"/>
      <c r="CC320" s="797"/>
      <c r="CD320" s="797"/>
      <c r="CE320" s="797"/>
      <c r="CF320" s="797"/>
      <c r="CG320" s="797"/>
      <c r="CH320" s="797"/>
      <c r="CI320" s="797"/>
      <c r="CJ320" s="797"/>
      <c r="CK320" s="797"/>
      <c r="CL320" s="797"/>
      <c r="CM320" s="797"/>
      <c r="CN320" s="797"/>
      <c r="CO320" s="797"/>
      <c r="CP320" s="797"/>
      <c r="CQ320" s="797"/>
      <c r="CR320" s="797"/>
      <c r="CS320" s="797"/>
      <c r="CT320" s="797"/>
      <c r="CU320" s="797"/>
    </row>
    <row r="321" spans="1:99" ht="15.75" thickBot="1" x14ac:dyDescent="0.3">
      <c r="A321" s="348">
        <f>SUM(((A324+B321)/2)*(B319/(C314*C315)))</f>
        <v>1.710366314205089E-2</v>
      </c>
      <c r="B321" s="346">
        <f>SUM(C314-C315)</f>
        <v>-4.1445348935667425E-2</v>
      </c>
      <c r="C321" s="348">
        <f>SUM(C315+C314)/2*(C315/C314)</f>
        <v>172346.45819699619</v>
      </c>
      <c r="D321" s="269">
        <f>SUM(D311-(D317/100))</f>
        <v>172304.997</v>
      </c>
      <c r="E321" s="360">
        <f t="shared" si="8"/>
        <v>39</v>
      </c>
      <c r="F321" s="286">
        <f>SUM(F311-(F317/100))</f>
        <v>172099.53686663162</v>
      </c>
      <c r="G321" s="282">
        <f>SUM(H327+G323)/2</f>
        <v>172503.1109695232</v>
      </c>
      <c r="H321" s="286">
        <f>SUM(H311-H317/100)</f>
        <v>172282.48589840555</v>
      </c>
      <c r="I321" s="295">
        <f>J320</f>
        <v>415</v>
      </c>
      <c r="J321" s="256">
        <f>(I321+K317/360)^2</f>
        <v>172328.765625</v>
      </c>
      <c r="K321" s="256">
        <f>(K319+K320+C311)/3</f>
        <v>172524.23962387038</v>
      </c>
      <c r="L321" s="292">
        <f>((J322+K322)/2)</f>
        <v>171642</v>
      </c>
      <c r="M321" s="292">
        <f>(M320*L320)/L322</f>
        <v>9.0450066667286763E-2</v>
      </c>
      <c r="N321" s="257"/>
      <c r="O321" s="257"/>
      <c r="P321" s="257"/>
      <c r="Q321" s="257"/>
      <c r="R321" s="257"/>
      <c r="S321" s="151"/>
      <c r="T321" s="163"/>
      <c r="U321" s="154"/>
      <c r="V321" s="154"/>
      <c r="W321" s="163"/>
      <c r="X321" s="163"/>
      <c r="Y321" s="191"/>
      <c r="Z321" s="149"/>
      <c r="AA321" s="191"/>
      <c r="AB321" s="191"/>
      <c r="AC321" s="191"/>
      <c r="AD321" s="191"/>
      <c r="AE321" s="191"/>
      <c r="AF321" s="191"/>
      <c r="AG321" s="191"/>
      <c r="AH321" s="152"/>
      <c r="AI321" s="152"/>
      <c r="AJ321" s="162"/>
      <c r="AK321" s="171"/>
      <c r="AL321" s="151"/>
      <c r="AM321" s="624">
        <f>SUM(((AM324+AN321)/2)*(AN319/(AO314*AO315)))</f>
        <v>6.7165018791133638E-2</v>
      </c>
      <c r="AN321" s="608">
        <f>SUM(AO314-AO315)</f>
        <v>-2.8085633937735111E-2</v>
      </c>
      <c r="AO321" s="624">
        <f>SUM(AO315+AO314)/2*(AO315/AO314)</f>
        <v>137413.29332772462</v>
      </c>
      <c r="AP321" s="604">
        <f>SUM(AP311-(AP317/100))</f>
        <v>137211.99650000001</v>
      </c>
      <c r="AQ321" s="684">
        <f t="shared" si="9"/>
        <v>39</v>
      </c>
      <c r="AR321" s="624">
        <f>SUM(AR311-(AR317/100))</f>
        <v>137389.8460030776</v>
      </c>
      <c r="AS321" s="620">
        <f>SUM(AT327+AS323)/2</f>
        <v>137486.11879140238</v>
      </c>
      <c r="AT321" s="624">
        <f>SUM(AT311-AT317/100)</f>
        <v>137474.4367931649</v>
      </c>
      <c r="AU321" s="632">
        <f>AV320</f>
        <v>370</v>
      </c>
      <c r="AV321" s="598">
        <f>(AU321+AW317/360)^2</f>
        <v>136992.515625</v>
      </c>
      <c r="AW321" s="598">
        <f>(AW319+AW320+AO311)/3</f>
        <v>137397.8027357868</v>
      </c>
      <c r="AX321" s="598">
        <f>((AV322+AW322)/2)</f>
        <v>137370</v>
      </c>
      <c r="AY321" s="598">
        <f>(AY320*AX320)/AX322</f>
        <v>0.53854002000000001</v>
      </c>
      <c r="AZ321" s="599"/>
      <c r="BA321" s="599"/>
      <c r="BB321" s="599"/>
      <c r="BC321" s="599"/>
      <c r="BD321" s="599"/>
      <c r="BE321" s="502"/>
      <c r="BF321" s="514"/>
      <c r="BG321" s="505"/>
      <c r="BH321" s="505"/>
      <c r="BI321" s="514"/>
      <c r="BJ321" s="514"/>
      <c r="BK321" s="542"/>
      <c r="BL321" s="500"/>
      <c r="BM321" s="542"/>
      <c r="BN321" s="542"/>
      <c r="BO321" s="542"/>
      <c r="BP321" s="542"/>
      <c r="BQ321" s="542"/>
      <c r="BR321" s="542"/>
      <c r="BS321" s="542"/>
      <c r="BT321" s="503"/>
      <c r="BU321" s="503"/>
      <c r="BV321" s="513"/>
      <c r="BW321" s="502"/>
      <c r="BX321" s="502"/>
      <c r="BY321" s="797"/>
      <c r="BZ321" s="797"/>
      <c r="CA321" s="797"/>
      <c r="CB321" s="797"/>
      <c r="CC321" s="797"/>
      <c r="CD321" s="797"/>
      <c r="CE321" s="797"/>
      <c r="CF321" s="797"/>
      <c r="CG321" s="797"/>
      <c r="CH321" s="797"/>
      <c r="CI321" s="797"/>
      <c r="CJ321" s="797"/>
      <c r="CK321" s="797"/>
      <c r="CL321" s="797"/>
      <c r="CM321" s="797"/>
      <c r="CN321" s="797"/>
      <c r="CO321" s="797"/>
      <c r="CP321" s="797"/>
      <c r="CQ321" s="797"/>
      <c r="CR321" s="797"/>
      <c r="CS321" s="797"/>
      <c r="CT321" s="797"/>
      <c r="CU321" s="797"/>
    </row>
    <row r="322" spans="1:99" ht="15.75" thickBot="1" x14ac:dyDescent="0.3">
      <c r="A322" s="362">
        <f>SUM((A320-C311)*0.6-E312/B312)*F322</f>
        <v>693.6735593653716</v>
      </c>
      <c r="B322" s="354">
        <f>SUM(B319+B318)/2*(B319/B318)</f>
        <v>163286.30621025484</v>
      </c>
      <c r="C322" s="263">
        <v>1.5</v>
      </c>
      <c r="D322" s="363">
        <v>0</v>
      </c>
      <c r="E322" s="364">
        <f t="shared" si="8"/>
        <v>-51749</v>
      </c>
      <c r="F322" s="365">
        <f>F296</f>
        <v>-1</v>
      </c>
      <c r="G322" s="282">
        <f>SUM((C311+E311+G311)/3)/((D311+F311+H311)/3)</f>
        <v>1.0018171158797293</v>
      </c>
      <c r="H322" s="366"/>
      <c r="I322" s="256">
        <f>(J321+K321+K320)/3</f>
        <v>172393.92362462345</v>
      </c>
      <c r="J322" s="367">
        <f>J296</f>
        <v>172317</v>
      </c>
      <c r="K322" s="367">
        <f>K296</f>
        <v>170967</v>
      </c>
      <c r="L322" s="368">
        <f>(J322-K322)-E318</f>
        <v>1</v>
      </c>
      <c r="M322" s="257"/>
      <c r="N322" s="257"/>
      <c r="O322" s="257"/>
      <c r="P322" s="257"/>
      <c r="Q322" s="257"/>
      <c r="R322" s="257"/>
      <c r="S322" s="151"/>
      <c r="T322" s="163"/>
      <c r="U322" s="154"/>
      <c r="V322" s="154"/>
      <c r="W322" s="163"/>
      <c r="X322" s="163"/>
      <c r="Y322" s="149"/>
      <c r="Z322" s="149"/>
      <c r="AA322" s="191"/>
      <c r="AB322" s="149"/>
      <c r="AC322" s="149"/>
      <c r="AD322" s="149"/>
      <c r="AE322" s="149"/>
      <c r="AF322" s="149"/>
      <c r="AG322" s="191"/>
      <c r="AH322" s="152"/>
      <c r="AI322" s="152"/>
      <c r="AJ322" s="162"/>
      <c r="AK322" s="171"/>
      <c r="AL322" s="151"/>
      <c r="AM322" s="686">
        <f>SUM((AM320-AO311)*0.6-AQ312/AN312)*AR322</f>
        <v>1366.5059919311259</v>
      </c>
      <c r="AN322" s="679">
        <f>SUM(AN319+AN318)/2*(AN319/AN318)</f>
        <v>106211.86257069025</v>
      </c>
      <c r="AO322" s="604">
        <v>1.5</v>
      </c>
      <c r="AP322" s="620">
        <v>0</v>
      </c>
      <c r="AQ322" s="687">
        <f t="shared" si="9"/>
        <v>-41236</v>
      </c>
      <c r="AR322" s="688">
        <f>AR296</f>
        <v>-1</v>
      </c>
      <c r="AS322" s="620">
        <f>SUM((AO311+AQ311+AS311)/3)/((AP311+AR311+AT311)/3)</f>
        <v>1.0010566199767383</v>
      </c>
      <c r="AT322" s="689"/>
      <c r="AU322" s="598">
        <f>(AV321+AW321+AW320)/3</f>
        <v>137127.61132859558</v>
      </c>
      <c r="AV322" s="690">
        <f>AV296</f>
        <v>137694</v>
      </c>
      <c r="AW322" s="690">
        <f>AW296</f>
        <v>137046</v>
      </c>
      <c r="AX322" s="691">
        <f>(AV322-AW322)-AQ318</f>
        <v>1</v>
      </c>
      <c r="AY322" s="599"/>
      <c r="AZ322" s="599"/>
      <c r="BA322" s="599"/>
      <c r="BB322" s="599"/>
      <c r="BC322" s="599"/>
      <c r="BD322" s="599"/>
      <c r="BE322" s="502"/>
      <c r="BF322" s="514"/>
      <c r="BG322" s="505"/>
      <c r="BH322" s="505"/>
      <c r="BI322" s="514"/>
      <c r="BJ322" s="514"/>
      <c r="BK322" s="500"/>
      <c r="BL322" s="500"/>
      <c r="BM322" s="542"/>
      <c r="BN322" s="500"/>
      <c r="BO322" s="500"/>
      <c r="BP322" s="500"/>
      <c r="BQ322" s="500"/>
      <c r="BR322" s="500"/>
      <c r="BS322" s="542"/>
      <c r="BT322" s="503"/>
      <c r="BU322" s="503"/>
      <c r="BV322" s="513"/>
      <c r="BW322" s="502"/>
      <c r="BX322" s="502"/>
      <c r="BY322" s="797"/>
      <c r="BZ322" s="797"/>
      <c r="CA322" s="797"/>
      <c r="CB322" s="797"/>
      <c r="CC322" s="797"/>
      <c r="CD322" s="797"/>
      <c r="CE322" s="797"/>
      <c r="CF322" s="797"/>
      <c r="CG322" s="797"/>
      <c r="CH322" s="797"/>
      <c r="CI322" s="797"/>
      <c r="CJ322" s="797"/>
      <c r="CK322" s="797"/>
      <c r="CL322" s="797"/>
      <c r="CM322" s="797"/>
      <c r="CN322" s="797"/>
      <c r="CO322" s="797"/>
      <c r="CP322" s="797"/>
      <c r="CQ322" s="797"/>
      <c r="CR322" s="797"/>
      <c r="CS322" s="797"/>
      <c r="CT322" s="797"/>
      <c r="CU322" s="797"/>
    </row>
    <row r="323" spans="1:99" ht="15.75" thickBot="1" x14ac:dyDescent="0.3">
      <c r="A323" s="348">
        <f>(K314+A319)/2</f>
        <v>171471.03381398763</v>
      </c>
      <c r="B323" s="354">
        <f>SUM(B319+B318)/2*(B318/B319)</f>
        <v>175514.98476864296</v>
      </c>
      <c r="C323" s="348">
        <v>1</v>
      </c>
      <c r="D323" s="363">
        <v>0</v>
      </c>
      <c r="E323" s="364">
        <f t="shared" si="8"/>
        <v>-51706</v>
      </c>
      <c r="F323" s="305">
        <f>(A319*2+A311+B314)/4</f>
        <v>171648.82721061513</v>
      </c>
      <c r="G323" s="306">
        <f>SUM(H327*G322)</f>
        <v>172659.69777246282</v>
      </c>
      <c r="H323" s="307">
        <f>H297</f>
        <v>45</v>
      </c>
      <c r="I323" s="369">
        <f>I297</f>
        <v>172632</v>
      </c>
      <c r="J323" s="369">
        <f>J297</f>
        <v>171622</v>
      </c>
      <c r="K323" s="309" t="s">
        <v>49</v>
      </c>
      <c r="L323" s="256">
        <v>0.5</v>
      </c>
      <c r="M323" s="310">
        <f>D311</f>
        <v>172305</v>
      </c>
      <c r="N323" s="310">
        <f>C311</f>
        <v>172693</v>
      </c>
      <c r="O323" s="311">
        <f>B311</f>
        <v>171511.67287645713</v>
      </c>
      <c r="P323" s="311">
        <f>A311</f>
        <v>171458.94791914604</v>
      </c>
      <c r="Q323" s="257"/>
      <c r="R323" s="257"/>
      <c r="S323" s="151"/>
      <c r="T323" s="163"/>
      <c r="U323" s="154"/>
      <c r="V323" s="154"/>
      <c r="W323" s="154"/>
      <c r="X323" s="154"/>
      <c r="Y323" s="191"/>
      <c r="Z323" s="149"/>
      <c r="AA323" s="314"/>
      <c r="AB323" s="149"/>
      <c r="AC323" s="149"/>
      <c r="AD323" s="149"/>
      <c r="AE323" s="149"/>
      <c r="AF323" s="149"/>
      <c r="AG323" s="191"/>
      <c r="AH323" s="152"/>
      <c r="AI323" s="152"/>
      <c r="AJ323" s="163"/>
      <c r="AK323" s="171"/>
      <c r="AL323" s="151"/>
      <c r="AM323" s="624">
        <f>(AW314+AM319)/2</f>
        <v>135628.61337040784</v>
      </c>
      <c r="AN323" s="679">
        <f>SUM(AN319+AN318)/2*(AN318/AN319)</f>
        <v>150490.27559231393</v>
      </c>
      <c r="AO323" s="624">
        <v>1</v>
      </c>
      <c r="AP323" s="620">
        <v>0</v>
      </c>
      <c r="AQ323" s="687">
        <f t="shared" si="9"/>
        <v>-41203</v>
      </c>
      <c r="AR323" s="642">
        <f>(AM319*2+AM311+AN314)/4</f>
        <v>135901.46951140696</v>
      </c>
      <c r="AS323" s="643">
        <f>SUM(AT327*AS322)</f>
        <v>137558.71572753551</v>
      </c>
      <c r="AT323" s="644">
        <f>AT297</f>
        <v>45</v>
      </c>
      <c r="AU323" s="692">
        <f>AU297</f>
        <v>137040</v>
      </c>
      <c r="AV323" s="692">
        <f>AV297</f>
        <v>137344</v>
      </c>
      <c r="AW323" s="646" t="s">
        <v>49</v>
      </c>
      <c r="AX323" s="598">
        <v>0.5</v>
      </c>
      <c r="AY323" s="647">
        <f>AP311</f>
        <v>137212</v>
      </c>
      <c r="AZ323" s="647">
        <f>AO311</f>
        <v>137699</v>
      </c>
      <c r="BA323" s="632">
        <f>AN311</f>
        <v>135395.84922441861</v>
      </c>
      <c r="BB323" s="632">
        <f>AM311</f>
        <v>135611.62384651304</v>
      </c>
      <c r="BC323" s="599"/>
      <c r="BD323" s="599"/>
      <c r="BE323" s="502"/>
      <c r="BF323" s="514"/>
      <c r="BG323" s="505"/>
      <c r="BH323" s="505"/>
      <c r="BI323" s="505"/>
      <c r="BJ323" s="505"/>
      <c r="BK323" s="542"/>
      <c r="BL323" s="500"/>
      <c r="BM323" s="650"/>
      <c r="BN323" s="500"/>
      <c r="BO323" s="500"/>
      <c r="BP323" s="500"/>
      <c r="BQ323" s="500"/>
      <c r="BR323" s="500"/>
      <c r="BS323" s="542"/>
      <c r="BT323" s="503"/>
      <c r="BU323" s="503"/>
      <c r="BV323" s="514"/>
      <c r="BW323" s="502"/>
      <c r="BX323" s="502"/>
      <c r="BY323" s="797"/>
      <c r="BZ323" s="797"/>
      <c r="CA323" s="797"/>
      <c r="CB323" s="797"/>
      <c r="CC323" s="797"/>
      <c r="CD323" s="797"/>
      <c r="CE323" s="797"/>
      <c r="CF323" s="797"/>
      <c r="CG323" s="797"/>
      <c r="CH323" s="797"/>
      <c r="CI323" s="797"/>
      <c r="CJ323" s="797"/>
      <c r="CK323" s="797"/>
      <c r="CL323" s="797"/>
      <c r="CM323" s="797"/>
      <c r="CN323" s="797"/>
      <c r="CO323" s="797"/>
      <c r="CP323" s="797"/>
      <c r="CQ323" s="797"/>
      <c r="CR323" s="797"/>
      <c r="CS323" s="797"/>
      <c r="CT323" s="797"/>
      <c r="CU323" s="797"/>
    </row>
    <row r="324" spans="1:99" x14ac:dyDescent="0.25">
      <c r="A324" s="348">
        <f>SUM(C314+C315)/2-B319</f>
        <v>6112.3258583587012</v>
      </c>
      <c r="B324" s="346">
        <f>SUM(C324+B321)/2</f>
        <v>0.2145898535720942</v>
      </c>
      <c r="C324" s="370">
        <f>SUM(C323+B321)/2*(C321/B323)</f>
        <v>0.47062505607985583</v>
      </c>
      <c r="D324" s="363">
        <v>0</v>
      </c>
      <c r="E324" s="364">
        <f t="shared" si="8"/>
        <v>-51690</v>
      </c>
      <c r="F324" s="305">
        <f>(A320*2+B314+B311)/4</f>
        <v>171703.99467432956</v>
      </c>
      <c r="G324" s="306">
        <f>SUM(G325*G327)/H324</f>
        <v>32.074073942206198</v>
      </c>
      <c r="H324" s="312">
        <v>45</v>
      </c>
      <c r="I324" s="369">
        <f>I298</f>
        <v>172401</v>
      </c>
      <c r="J324" s="369">
        <f>J298</f>
        <v>171886</v>
      </c>
      <c r="K324" s="313" t="s">
        <v>50</v>
      </c>
      <c r="L324" s="256">
        <v>2</v>
      </c>
      <c r="M324" s="257"/>
      <c r="N324" s="257"/>
      <c r="O324" s="257"/>
      <c r="P324" s="257"/>
      <c r="Q324" s="257"/>
      <c r="R324" s="257"/>
      <c r="S324" s="151"/>
      <c r="T324" s="163"/>
      <c r="U324" s="163"/>
      <c r="V324" s="163"/>
      <c r="W324" s="154"/>
      <c r="X324" s="163"/>
      <c r="Y324" s="191"/>
      <c r="Z324" s="191"/>
      <c r="AA324" s="149"/>
      <c r="AB324" s="149"/>
      <c r="AC324" s="149"/>
      <c r="AD324" s="149"/>
      <c r="AE324" s="149"/>
      <c r="AF324" s="149"/>
      <c r="AG324" s="191"/>
      <c r="AH324" s="152"/>
      <c r="AI324" s="152"/>
      <c r="AJ324" s="248"/>
      <c r="AK324" s="171"/>
      <c r="AL324" s="151"/>
      <c r="AM324" s="624">
        <f>SUM(AO314+AO315)/2-AN319</f>
        <v>21972.021376338613</v>
      </c>
      <c r="AN324" s="608">
        <f>SUM(AO324+AN321)/2</f>
        <v>0.20782194031775639</v>
      </c>
      <c r="AO324" s="675">
        <f>SUM(AO323+AN321)/2*(AO321/AN323)</f>
        <v>0.44372951457324789</v>
      </c>
      <c r="AP324" s="620">
        <v>0</v>
      </c>
      <c r="AQ324" s="687">
        <f t="shared" si="9"/>
        <v>-41248</v>
      </c>
      <c r="AR324" s="642">
        <f>(AM320*2+AN314+AN311)/4</f>
        <v>135756.70633262669</v>
      </c>
      <c r="AS324" s="643">
        <f>SUM(AS325*AS327)/AT324</f>
        <v>28.727378894339694</v>
      </c>
      <c r="AT324" s="648">
        <v>45</v>
      </c>
      <c r="AU324" s="692">
        <f>AU298</f>
        <v>137974</v>
      </c>
      <c r="AV324" s="692">
        <f>AV298</f>
        <v>137497</v>
      </c>
      <c r="AW324" s="649" t="s">
        <v>50</v>
      </c>
      <c r="AX324" s="598">
        <v>2</v>
      </c>
      <c r="AY324" s="599"/>
      <c r="AZ324" s="599"/>
      <c r="BA324" s="599"/>
      <c r="BB324" s="599"/>
      <c r="BC324" s="599"/>
      <c r="BD324" s="599"/>
      <c r="BE324" s="502"/>
      <c r="BF324" s="514"/>
      <c r="BG324" s="514"/>
      <c r="BH324" s="514"/>
      <c r="BI324" s="505"/>
      <c r="BJ324" s="514"/>
      <c r="BK324" s="542"/>
      <c r="BL324" s="542"/>
      <c r="BM324" s="500"/>
      <c r="BN324" s="500"/>
      <c r="BO324" s="500"/>
      <c r="BP324" s="500"/>
      <c r="BQ324" s="500"/>
      <c r="BR324" s="500"/>
      <c r="BS324" s="542"/>
      <c r="BT324" s="503"/>
      <c r="BU324" s="503"/>
      <c r="BV324" s="590"/>
      <c r="BW324" s="502"/>
      <c r="BX324" s="502"/>
      <c r="BY324" s="797"/>
      <c r="BZ324" s="797"/>
      <c r="CA324" s="797"/>
      <c r="CB324" s="797"/>
      <c r="CC324" s="797"/>
      <c r="CD324" s="797"/>
      <c r="CE324" s="797"/>
      <c r="CF324" s="797"/>
      <c r="CG324" s="797"/>
      <c r="CH324" s="797"/>
      <c r="CI324" s="797"/>
      <c r="CJ324" s="797"/>
      <c r="CK324" s="797"/>
      <c r="CL324" s="797"/>
      <c r="CM324" s="797"/>
      <c r="CN324" s="797"/>
      <c r="CO324" s="797"/>
      <c r="CP324" s="797"/>
      <c r="CQ324" s="797"/>
      <c r="CR324" s="797"/>
      <c r="CS324" s="797"/>
      <c r="CT324" s="797"/>
      <c r="CU324" s="797"/>
    </row>
    <row r="325" spans="1:99" x14ac:dyDescent="0.25">
      <c r="A325" s="348">
        <f>SUM((C315-B321)+C321)/2</f>
        <v>172346.46855833093</v>
      </c>
      <c r="B325" s="348"/>
      <c r="C325" s="317">
        <f>SUM(C319*-1)</f>
        <v>-0.59010965195496157</v>
      </c>
      <c r="D325" s="318">
        <f>SUM(C318*-1+C316)/-2</f>
        <v>0.46622121268836325</v>
      </c>
      <c r="E325" s="371">
        <v>0</v>
      </c>
      <c r="F325" s="372">
        <f>SUM(D314+F314)/(F314+H314)*((D314+F314+H314)/3)</f>
        <v>0.32061895712950444</v>
      </c>
      <c r="G325" s="317">
        <f>SUM(D312+F312)/(F312+H312)*(D312+F312+H312)/3*F325/H324</f>
        <v>8.40215828269383E-3</v>
      </c>
      <c r="H325" s="318">
        <f>SUM(H328/H327)*H326</f>
        <v>172346.53090131172</v>
      </c>
      <c r="I325" s="319">
        <f>(J324+I322+Q331)/3</f>
        <v>172282.48959362449</v>
      </c>
      <c r="J325" s="319">
        <v>1</v>
      </c>
      <c r="K325" s="319">
        <f>(B314+B311+A311+B311)/4</f>
        <v>171678.21116298105</v>
      </c>
      <c r="L325" s="320"/>
      <c r="M325" s="257"/>
      <c r="N325" s="257"/>
      <c r="O325" s="257"/>
      <c r="P325" s="257"/>
      <c r="Q325" s="257"/>
      <c r="R325" s="257"/>
      <c r="S325" s="151"/>
      <c r="T325" s="163"/>
      <c r="U325" s="163"/>
      <c r="V325" s="154"/>
      <c r="W325" s="154"/>
      <c r="X325" s="154"/>
      <c r="Y325" s="149"/>
      <c r="Z325" s="149"/>
      <c r="AA325" s="149"/>
      <c r="AB325" s="149"/>
      <c r="AC325" s="149"/>
      <c r="AD325" s="149"/>
      <c r="AE325" s="149"/>
      <c r="AF325" s="149"/>
      <c r="AG325" s="191"/>
      <c r="AH325" s="152"/>
      <c r="AI325" s="152"/>
      <c r="AJ325" s="322"/>
      <c r="AK325" s="171"/>
      <c r="AL325" s="151"/>
      <c r="AM325" s="624">
        <f>SUM((AO315-AN321)+AO321)/2</f>
        <v>137413.30034913166</v>
      </c>
      <c r="AN325" s="624"/>
      <c r="AO325" s="652">
        <f>SUM(AO319*-1)</f>
        <v>-0.81337586932101313</v>
      </c>
      <c r="AP325" s="653">
        <f>SUM(AO318*-1+AO316)/-2</f>
        <v>0.35250334273956585</v>
      </c>
      <c r="AQ325" s="652">
        <v>0</v>
      </c>
      <c r="AR325" s="693">
        <f>SUM(AP314+AR314)/(AR314+AT314)*((AP314+AR314+AT314)/3)</f>
        <v>0.45357993883811548</v>
      </c>
      <c r="AS325" s="652">
        <f>SUM(AP312+AR312)/(AR312+AT312)*(AP312+AR312+AT312)/3*AR325/AT324</f>
        <v>9.495018603750521E-3</v>
      </c>
      <c r="AT325" s="653">
        <f>SUM(AT328/AT327)*AT326</f>
        <v>137413.53262214438</v>
      </c>
      <c r="AU325" s="654">
        <f>(AV324+AU322+BC331)/3</f>
        <v>137474.44382828186</v>
      </c>
      <c r="AV325" s="654">
        <v>1</v>
      </c>
      <c r="AW325" s="654">
        <f>(AN314+AN311+AM311+AN311)/4</f>
        <v>135797.82958133344</v>
      </c>
      <c r="AX325" s="599"/>
      <c r="AY325" s="599"/>
      <c r="AZ325" s="599"/>
      <c r="BA325" s="599"/>
      <c r="BB325" s="599"/>
      <c r="BC325" s="599"/>
      <c r="BD325" s="599"/>
      <c r="BE325" s="502"/>
      <c r="BF325" s="514"/>
      <c r="BG325" s="514"/>
      <c r="BH325" s="505"/>
      <c r="BI325" s="505"/>
      <c r="BJ325" s="505"/>
      <c r="BK325" s="500"/>
      <c r="BL325" s="500"/>
      <c r="BM325" s="500"/>
      <c r="BN325" s="500"/>
      <c r="BO325" s="500"/>
      <c r="BP325" s="500"/>
      <c r="BQ325" s="500"/>
      <c r="BR325" s="500"/>
      <c r="BS325" s="542"/>
      <c r="BT325" s="503"/>
      <c r="BU325" s="503"/>
      <c r="BV325" s="656"/>
      <c r="BW325" s="502"/>
      <c r="BX325" s="502"/>
      <c r="BY325" s="797"/>
      <c r="BZ325" s="797"/>
      <c r="CA325" s="797"/>
      <c r="CB325" s="797"/>
      <c r="CC325" s="797"/>
      <c r="CD325" s="797"/>
      <c r="CE325" s="797"/>
      <c r="CF325" s="797"/>
      <c r="CG325" s="797"/>
      <c r="CH325" s="797"/>
      <c r="CI325" s="797"/>
      <c r="CJ325" s="797"/>
      <c r="CK325" s="797"/>
      <c r="CL325" s="797"/>
      <c r="CM325" s="797"/>
      <c r="CN325" s="797"/>
      <c r="CO325" s="797"/>
      <c r="CP325" s="797"/>
      <c r="CQ325" s="797"/>
      <c r="CR325" s="797"/>
      <c r="CS325" s="797"/>
      <c r="CT325" s="797"/>
      <c r="CU325" s="797"/>
    </row>
    <row r="326" spans="1:99" x14ac:dyDescent="0.25">
      <c r="A326" s="346">
        <f>SUM(D311-D316)</f>
        <v>172304.94716245</v>
      </c>
      <c r="B326" s="346">
        <f>SUM(F311-F316)</f>
        <v>172099.44946631635</v>
      </c>
      <c r="C326" s="323">
        <f>SUM(H311-H316)</f>
        <v>172282.37822301817</v>
      </c>
      <c r="D326" s="267">
        <f>SUM(A328-B328)</f>
        <v>0.13250206140219234</v>
      </c>
      <c r="E326" s="267">
        <v>1.8</v>
      </c>
      <c r="F326" s="323">
        <f>SUM(E326/D312)*(D312+E326)/2</f>
        <v>2.52</v>
      </c>
      <c r="G326" s="321">
        <f>SUM(H327/H328)*H326</f>
        <v>172346.52281963799</v>
      </c>
      <c r="H326" s="321">
        <f>SUM(H327+(F325*G325))</f>
        <v>172346.52686047481</v>
      </c>
      <c r="I326" s="319">
        <f>(I324+J321+Q332)/3</f>
        <v>172321.71359375</v>
      </c>
      <c r="J326" s="319">
        <f>(B314+B311+A311)/3</f>
        <v>171733.7239251557</v>
      </c>
      <c r="K326" s="319">
        <f>(A311+B311+B314*2)/4</f>
        <v>171857.93068883277</v>
      </c>
      <c r="L326" s="257"/>
      <c r="M326" s="257"/>
      <c r="N326" s="257"/>
      <c r="O326" s="257"/>
      <c r="P326" s="257"/>
      <c r="Q326" s="257"/>
      <c r="R326" s="257"/>
      <c r="S326" s="151"/>
      <c r="T326" s="191"/>
      <c r="U326" s="149"/>
      <c r="V326" s="162"/>
      <c r="W326" s="149"/>
      <c r="X326" s="191"/>
      <c r="Y326" s="149"/>
      <c r="Z326" s="149"/>
      <c r="AA326" s="149"/>
      <c r="AB326" s="149"/>
      <c r="AC326" s="149"/>
      <c r="AD326" s="149"/>
      <c r="AE326" s="149"/>
      <c r="AF326" s="149"/>
      <c r="AG326" s="149"/>
      <c r="AH326" s="152"/>
      <c r="AI326" s="191"/>
      <c r="AJ326" s="152"/>
      <c r="AK326" s="171"/>
      <c r="AL326" s="151"/>
      <c r="AM326" s="608">
        <f>SUM(AP311-AP316)</f>
        <v>137211.92526099301</v>
      </c>
      <c r="AN326" s="608">
        <f>SUM(AR311-AR316)</f>
        <v>137389.53106469318</v>
      </c>
      <c r="AO326" s="655">
        <f>SUM(AT311-AT316)</f>
        <v>137474.16048066053</v>
      </c>
      <c r="AP326" s="608">
        <f>SUM(AM328-AN328)</f>
        <v>0.26660009077750146</v>
      </c>
      <c r="AQ326" s="608">
        <v>1.8</v>
      </c>
      <c r="AR326" s="655">
        <f>SUM(AQ326/AP312)*(AP312+AQ326)/2</f>
        <v>2.52</v>
      </c>
      <c r="AS326" s="655">
        <f>SUM(AT327/AT328)*AT326</f>
        <v>137413.5197018944</v>
      </c>
      <c r="AT326" s="655">
        <f>SUM(AT327+(AR325*AS325))</f>
        <v>137413.52616201923</v>
      </c>
      <c r="AU326" s="654">
        <f>(AU324+AV321+BC332)/3</f>
        <v>137514.19942708334</v>
      </c>
      <c r="AV326" s="654">
        <f>(AN314+AN311+AM311)/3</f>
        <v>135931.82303363839</v>
      </c>
      <c r="AW326" s="654">
        <f>(AM311+AN311+AN314*2)/4</f>
        <v>136145.86628272466</v>
      </c>
      <c r="AX326" s="599"/>
      <c r="AY326" s="599"/>
      <c r="AZ326" s="599"/>
      <c r="BA326" s="599"/>
      <c r="BB326" s="599"/>
      <c r="BC326" s="599"/>
      <c r="BD326" s="599"/>
      <c r="BE326" s="502"/>
      <c r="BF326" s="542"/>
      <c r="BG326" s="500"/>
      <c r="BH326" s="513"/>
      <c r="BI326" s="500"/>
      <c r="BJ326" s="542"/>
      <c r="BK326" s="500"/>
      <c r="BL326" s="500"/>
      <c r="BM326" s="500"/>
      <c r="BN326" s="500"/>
      <c r="BO326" s="500"/>
      <c r="BP326" s="500"/>
      <c r="BQ326" s="500"/>
      <c r="BR326" s="500"/>
      <c r="BS326" s="500"/>
      <c r="BT326" s="503"/>
      <c r="BU326" s="542"/>
      <c r="BV326" s="503"/>
      <c r="BW326" s="502"/>
      <c r="BX326" s="502"/>
      <c r="BY326" s="797"/>
      <c r="BZ326" s="797"/>
      <c r="CA326" s="797"/>
      <c r="CB326" s="797"/>
      <c r="CC326" s="797"/>
      <c r="CD326" s="797"/>
      <c r="CE326" s="797"/>
      <c r="CF326" s="797"/>
      <c r="CG326" s="797"/>
      <c r="CH326" s="797"/>
      <c r="CI326" s="797"/>
      <c r="CJ326" s="797"/>
      <c r="CK326" s="797"/>
      <c r="CL326" s="797"/>
      <c r="CM326" s="797"/>
      <c r="CN326" s="797"/>
      <c r="CO326" s="797"/>
      <c r="CP326" s="797"/>
      <c r="CQ326" s="797"/>
      <c r="CR326" s="797"/>
      <c r="CS326" s="797"/>
      <c r="CT326" s="797"/>
      <c r="CU326" s="797"/>
    </row>
    <row r="327" spans="1:99" ht="15.75" thickBot="1" x14ac:dyDescent="0.3">
      <c r="A327" s="346">
        <f>SUM(A326+D315)</f>
        <v>172305.12328761668</v>
      </c>
      <c r="B327" s="346">
        <f>SUM(B326+F315)</f>
        <v>172099.60333569185</v>
      </c>
      <c r="C327" s="323">
        <f>SUM(C326+H315)</f>
        <v>172282.44573466014</v>
      </c>
      <c r="D327" s="267"/>
      <c r="E327" s="323">
        <f>SUM(A317)</f>
        <v>171778.73891440948</v>
      </c>
      <c r="F327" s="323">
        <f>SUM(A328/B328)*A328</f>
        <v>172229.18995481954</v>
      </c>
      <c r="G327" s="323">
        <f>SUM(E327+F326)</f>
        <v>171781.25891440947</v>
      </c>
      <c r="H327" s="321">
        <f>SUM(((E328-F325*G325)+E328))/2</f>
        <v>172346.52416658358</v>
      </c>
      <c r="I327" s="319">
        <f>(B314+A311+B311+A311)/4</f>
        <v>171665.02992365329</v>
      </c>
      <c r="J327" s="319">
        <f>(J326+I326)/2</f>
        <v>172027.71875945287</v>
      </c>
      <c r="K327" s="319">
        <f>(K326+K325)/2</f>
        <v>171768.07092590691</v>
      </c>
      <c r="L327" s="257"/>
      <c r="M327" s="257"/>
      <c r="N327" s="257"/>
      <c r="O327" s="257"/>
      <c r="P327" s="257"/>
      <c r="Q327" s="257"/>
      <c r="R327" s="257"/>
      <c r="S327" s="151"/>
      <c r="T327" s="171"/>
      <c r="U327" s="171"/>
      <c r="V327" s="171"/>
      <c r="W327" s="171"/>
      <c r="X327" s="171"/>
      <c r="Y327" s="171"/>
      <c r="Z327" s="171"/>
      <c r="AA327" s="171"/>
      <c r="AB327" s="171"/>
      <c r="AC327" s="171"/>
      <c r="AD327" s="171"/>
      <c r="AE327" s="171"/>
      <c r="AF327" s="171"/>
      <c r="AG327" s="171"/>
      <c r="AH327" s="171"/>
      <c r="AI327" s="171"/>
      <c r="AJ327" s="171"/>
      <c r="AK327" s="171"/>
      <c r="AL327" s="151"/>
      <c r="AM327" s="608">
        <f>SUM(AM326+AP315)</f>
        <v>137212.138801013</v>
      </c>
      <c r="AN327" s="608">
        <f>SUM(AN326+AR315)</f>
        <v>137389.81299862859</v>
      </c>
      <c r="AO327" s="655">
        <f>SUM(AO326+AT315)</f>
        <v>137474.4648069774</v>
      </c>
      <c r="AP327" s="608"/>
      <c r="AQ327" s="655">
        <f>SUM(AM317)</f>
        <v>136145.92838057069</v>
      </c>
      <c r="AR327" s="655">
        <f>SUM(AM328/AN328)*AM328</f>
        <v>137359.07213614788</v>
      </c>
      <c r="AS327" s="655">
        <f>SUM(AQ327+AR326)</f>
        <v>136148.44838057068</v>
      </c>
      <c r="AT327" s="655">
        <f>SUM(((AQ328-AR325*AS325)+AQ328))/2</f>
        <v>137413.52185526927</v>
      </c>
      <c r="AU327" s="654">
        <f>(AN314+AM311+AN311+AM311)/4</f>
        <v>135851.77323685703</v>
      </c>
      <c r="AV327" s="654">
        <f>(AV326+AU326)/2</f>
        <v>136723.01123036086</v>
      </c>
      <c r="AW327" s="654">
        <f>(AW326+AW325)/2</f>
        <v>135971.84793202905</v>
      </c>
      <c r="AX327" s="599"/>
      <c r="AY327" s="599"/>
      <c r="AZ327" s="599"/>
      <c r="BA327" s="599"/>
      <c r="BB327" s="599"/>
      <c r="BC327" s="599"/>
      <c r="BD327" s="599"/>
      <c r="BE327" s="502"/>
      <c r="BF327" s="502"/>
      <c r="BG327" s="502"/>
      <c r="BH327" s="502"/>
      <c r="BI327" s="502"/>
      <c r="BJ327" s="502"/>
      <c r="BK327" s="502"/>
      <c r="BL327" s="502"/>
      <c r="BM327" s="502"/>
      <c r="BN327" s="502"/>
      <c r="BO327" s="502"/>
      <c r="BP327" s="502"/>
      <c r="BQ327" s="502"/>
      <c r="BR327" s="502"/>
      <c r="BS327" s="502"/>
      <c r="BT327" s="502"/>
      <c r="BU327" s="502"/>
      <c r="BV327" s="502"/>
      <c r="BW327" s="502"/>
      <c r="BX327" s="502"/>
      <c r="BY327" s="797"/>
      <c r="BZ327" s="797"/>
      <c r="CA327" s="797"/>
      <c r="CB327" s="797"/>
      <c r="CC327" s="797"/>
      <c r="CD327" s="797"/>
      <c r="CE327" s="797"/>
      <c r="CF327" s="797"/>
      <c r="CG327" s="797"/>
      <c r="CH327" s="797"/>
      <c r="CI327" s="797"/>
      <c r="CJ327" s="797"/>
      <c r="CK327" s="797"/>
      <c r="CL327" s="797"/>
      <c r="CM327" s="797"/>
      <c r="CN327" s="797"/>
      <c r="CO327" s="797"/>
      <c r="CP327" s="797"/>
      <c r="CQ327" s="797"/>
      <c r="CR327" s="797"/>
      <c r="CS327" s="797"/>
      <c r="CT327" s="797"/>
      <c r="CU327" s="797"/>
    </row>
    <row r="328" spans="1:99" ht="15.75" thickBot="1" x14ac:dyDescent="0.3">
      <c r="A328" s="346">
        <f>SUM(A327+B327+C327)/3</f>
        <v>172229.05745265621</v>
      </c>
      <c r="B328" s="346">
        <f>SUM(A326+B326+C326)/3</f>
        <v>172228.92495059481</v>
      </c>
      <c r="C328" s="267"/>
      <c r="D328" s="267">
        <f>SUM(F328+F327)/2</f>
        <v>172228.99120172745</v>
      </c>
      <c r="E328" s="323">
        <f>SUM(A315)</f>
        <v>172346.5255135292</v>
      </c>
      <c r="F328" s="373">
        <f>SUM(B328/A328)*B328</f>
        <v>172228.79244863536</v>
      </c>
      <c r="G328" s="323">
        <f>SUM(E328+F326)</f>
        <v>172349.04551352918</v>
      </c>
      <c r="H328" s="321">
        <f>SUM(E328+(F325*G325))</f>
        <v>172346.52820742043</v>
      </c>
      <c r="I328" s="319">
        <f>(A311+I327)/2</f>
        <v>171561.98892139966</v>
      </c>
      <c r="J328" s="319">
        <f>(B314+B311+B313)/3</f>
        <v>171630.09275758345</v>
      </c>
      <c r="K328" s="325">
        <f>K302</f>
        <v>45</v>
      </c>
      <c r="L328" s="374">
        <f>(C311+D311)/2</f>
        <v>172499</v>
      </c>
      <c r="M328" s="257"/>
      <c r="N328" s="257"/>
      <c r="O328" s="257"/>
      <c r="P328" s="257"/>
      <c r="Q328" s="257"/>
      <c r="R328" s="257"/>
      <c r="S328" s="151"/>
      <c r="T328" s="171"/>
      <c r="U328" s="171"/>
      <c r="V328" s="171"/>
      <c r="W328" s="171"/>
      <c r="X328" s="171"/>
      <c r="Y328" s="171"/>
      <c r="Z328" s="171"/>
      <c r="AA328" s="171"/>
      <c r="AB328" s="171"/>
      <c r="AC328" s="171"/>
      <c r="AD328" s="171"/>
      <c r="AE328" s="171"/>
      <c r="AF328" s="171"/>
      <c r="AG328" s="171"/>
      <c r="AH328" s="171"/>
      <c r="AI328" s="171"/>
      <c r="AJ328" s="171"/>
      <c r="AK328" s="171"/>
      <c r="AL328" s="151"/>
      <c r="AM328" s="608">
        <f>SUM(AM327+AN327+AO327)/3</f>
        <v>137358.80553553966</v>
      </c>
      <c r="AN328" s="608">
        <f>SUM(AM326+AN326+AO326)/3</f>
        <v>137358.53893544889</v>
      </c>
      <c r="AO328" s="608"/>
      <c r="AP328" s="608">
        <f>SUM(AR328+AR327)/2</f>
        <v>137358.67223601171</v>
      </c>
      <c r="AQ328" s="655">
        <f>SUM(AM315)</f>
        <v>137413.52400864425</v>
      </c>
      <c r="AR328" s="694">
        <f>SUM(AN328/AM328)*AN328</f>
        <v>137358.27233587555</v>
      </c>
      <c r="AS328" s="655">
        <f>SUM(AQ328+AR326)</f>
        <v>137416.04400864424</v>
      </c>
      <c r="AT328" s="655">
        <f>SUM(AQ328+(AR325*AS325))</f>
        <v>137413.52831539421</v>
      </c>
      <c r="AU328" s="654">
        <f>(AM311+AU327)/2</f>
        <v>135731.69854168504</v>
      </c>
      <c r="AV328" s="654">
        <f>(AN314+AN311+AN313)/3</f>
        <v>135670.96727324851</v>
      </c>
      <c r="AW328" s="658">
        <f>AW302</f>
        <v>45</v>
      </c>
      <c r="AX328" s="695">
        <f>(AO311+AP311)/2</f>
        <v>137455.5</v>
      </c>
      <c r="AY328" s="599"/>
      <c r="AZ328" s="599"/>
      <c r="BA328" s="599"/>
      <c r="BB328" s="599"/>
      <c r="BC328" s="599"/>
      <c r="BD328" s="599"/>
      <c r="BE328" s="502"/>
      <c r="BF328" s="502"/>
      <c r="BG328" s="502"/>
      <c r="BH328" s="502"/>
      <c r="BI328" s="502"/>
      <c r="BJ328" s="502"/>
      <c r="BK328" s="502"/>
      <c r="BL328" s="502"/>
      <c r="BM328" s="502"/>
      <c r="BN328" s="502"/>
      <c r="BO328" s="502"/>
      <c r="BP328" s="502"/>
      <c r="BQ328" s="502"/>
      <c r="BR328" s="502"/>
      <c r="BS328" s="502"/>
      <c r="BT328" s="502"/>
      <c r="BU328" s="502"/>
      <c r="BV328" s="502"/>
      <c r="BW328" s="502"/>
      <c r="BX328" s="502"/>
      <c r="BY328" s="797"/>
      <c r="BZ328" s="797"/>
      <c r="CA328" s="797"/>
      <c r="CB328" s="797"/>
      <c r="CC328" s="797"/>
      <c r="CD328" s="797"/>
      <c r="CE328" s="797"/>
      <c r="CF328" s="797"/>
      <c r="CG328" s="797"/>
      <c r="CH328" s="797"/>
      <c r="CI328" s="797"/>
      <c r="CJ328" s="797"/>
      <c r="CK328" s="797"/>
      <c r="CL328" s="797"/>
      <c r="CM328" s="797"/>
      <c r="CN328" s="797"/>
      <c r="CO328" s="797"/>
      <c r="CP328" s="797"/>
      <c r="CQ328" s="797"/>
      <c r="CR328" s="797"/>
      <c r="CS328" s="797"/>
      <c r="CT328" s="797"/>
      <c r="CU328" s="797"/>
    </row>
    <row r="329" spans="1:99" x14ac:dyDescent="0.25">
      <c r="A329" s="375">
        <f>SUM(H311)</f>
        <v>172282.48959362449</v>
      </c>
      <c r="B329" s="375">
        <f>SUM(G311)</f>
        <v>172321.71359375</v>
      </c>
      <c r="C329" s="329">
        <f>SUM(F311)</f>
        <v>172099.54076004014</v>
      </c>
      <c r="D329" s="329">
        <f>SUM(E311)</f>
        <v>172611.1969676204</v>
      </c>
      <c r="E329" s="329">
        <f>SUM(D311)</f>
        <v>172305</v>
      </c>
      <c r="F329" s="329">
        <f>SUM(C311)</f>
        <v>172693</v>
      </c>
      <c r="G329" s="329">
        <f>SUM(A333)</f>
        <v>172693</v>
      </c>
      <c r="H329" s="329">
        <f>SUM(B333)</f>
        <v>172099.54076004014</v>
      </c>
      <c r="I329" s="330">
        <f>((I323*100)^L323)</f>
        <v>4154.900720835577</v>
      </c>
      <c r="J329" s="330">
        <f>INT(I329)+1</f>
        <v>4155</v>
      </c>
      <c r="K329" s="292">
        <f>(J329+K328/360)^L324/100</f>
        <v>172650.63765625001</v>
      </c>
      <c r="L329" s="330">
        <f>INT(J329)+1</f>
        <v>4156</v>
      </c>
      <c r="M329" s="292">
        <f>(L329+K328/360)^L324/100</f>
        <v>172733.75015625</v>
      </c>
      <c r="N329" s="292">
        <f>(K329+M329)/2</f>
        <v>172692.19390625</v>
      </c>
      <c r="O329" s="292">
        <f>((O330+L328)/2*100)^L323</f>
        <v>4154.5251411488052</v>
      </c>
      <c r="P329" s="292">
        <f>INT(O329)+1</f>
        <v>4155</v>
      </c>
      <c r="Q329" s="330">
        <f>(P329+K328/360)^L324/100</f>
        <v>172650.63765625001</v>
      </c>
      <c r="R329" s="292">
        <f>INT(Q330)+1</f>
        <v>4149</v>
      </c>
      <c r="S329" s="151"/>
      <c r="T329" s="171"/>
      <c r="U329" s="171"/>
      <c r="V329" s="171"/>
      <c r="W329" s="171"/>
      <c r="X329" s="171"/>
      <c r="Y329" s="171"/>
      <c r="Z329" s="171"/>
      <c r="AA329" s="171"/>
      <c r="AB329" s="171"/>
      <c r="AC329" s="171"/>
      <c r="AD329" s="171"/>
      <c r="AE329" s="171"/>
      <c r="AF329" s="171"/>
      <c r="AG329" s="171"/>
      <c r="AH329" s="171"/>
      <c r="AI329" s="171"/>
      <c r="AJ329" s="171"/>
      <c r="AK329" s="171"/>
      <c r="AL329" s="151"/>
      <c r="AM329" s="661">
        <f>SUM(AT311)</f>
        <v>137474.44382828186</v>
      </c>
      <c r="AN329" s="661">
        <f>SUM(AS311)</f>
        <v>137514.19942708334</v>
      </c>
      <c r="AO329" s="661">
        <f>SUM(AR311)</f>
        <v>137389.85346401227</v>
      </c>
      <c r="AP329" s="661">
        <f>SUM(AQ311)</f>
        <v>137298.50591287014</v>
      </c>
      <c r="AQ329" s="661">
        <f>SUM(AP311)</f>
        <v>137212</v>
      </c>
      <c r="AR329" s="661">
        <f>SUM(AO311)</f>
        <v>137699</v>
      </c>
      <c r="AS329" s="661">
        <f>SUM(AM333)</f>
        <v>137699</v>
      </c>
      <c r="AT329" s="661">
        <f>SUM(AN333)</f>
        <v>137389.85346401227</v>
      </c>
      <c r="AU329" s="621">
        <f>((AU323*100)^AX323)</f>
        <v>3701.8914084559533</v>
      </c>
      <c r="AV329" s="621">
        <f>INT(AU329)+1</f>
        <v>3702</v>
      </c>
      <c r="AW329" s="598">
        <f>(AV329+AW328/360)^AX324/100</f>
        <v>137057.29515625001</v>
      </c>
      <c r="AX329" s="621">
        <f>INT(AV329)+1</f>
        <v>3703</v>
      </c>
      <c r="AY329" s="598">
        <f>(AX329+AW328/360)^AX324/100</f>
        <v>137131.34765625</v>
      </c>
      <c r="AZ329" s="598">
        <f>(AW329+AY329)/2</f>
        <v>137094.32140625</v>
      </c>
      <c r="BA329" s="598">
        <f>((BA330+AX328)/2*100)^AX323</f>
        <v>3705.1253552933267</v>
      </c>
      <c r="BB329" s="598">
        <f>INT(BA329)+1</f>
        <v>3706</v>
      </c>
      <c r="BC329" s="621">
        <f>(BB329+AW328/360)^AX324/100</f>
        <v>137353.62515625</v>
      </c>
      <c r="BD329" s="598">
        <f>INT(BC330)+1</f>
        <v>3707</v>
      </c>
      <c r="BE329" s="502"/>
      <c r="BF329" s="502"/>
      <c r="BG329" s="502"/>
      <c r="BH329" s="502"/>
      <c r="BI329" s="502"/>
      <c r="BJ329" s="502"/>
      <c r="BK329" s="502"/>
      <c r="BL329" s="502"/>
      <c r="BM329" s="502"/>
      <c r="BN329" s="502"/>
      <c r="BO329" s="502"/>
      <c r="BP329" s="502"/>
      <c r="BQ329" s="502"/>
      <c r="BR329" s="502"/>
      <c r="BS329" s="502"/>
      <c r="BT329" s="502"/>
      <c r="BU329" s="502"/>
      <c r="BV329" s="502"/>
      <c r="BW329" s="502"/>
      <c r="BX329" s="502"/>
      <c r="BY329" s="797"/>
      <c r="BZ329" s="797"/>
      <c r="CA329" s="797"/>
      <c r="CB329" s="797"/>
      <c r="CC329" s="797"/>
      <c r="CD329" s="797"/>
      <c r="CE329" s="797"/>
      <c r="CF329" s="797"/>
      <c r="CG329" s="797"/>
      <c r="CH329" s="797"/>
      <c r="CI329" s="797"/>
      <c r="CJ329" s="797"/>
      <c r="CK329" s="797"/>
      <c r="CL329" s="797"/>
      <c r="CM329" s="797"/>
      <c r="CN329" s="797"/>
      <c r="CO329" s="797"/>
      <c r="CP329" s="797"/>
      <c r="CQ329" s="797"/>
      <c r="CR329" s="797"/>
      <c r="CS329" s="797"/>
      <c r="CT329" s="797"/>
      <c r="CU329" s="797"/>
    </row>
    <row r="330" spans="1:99" x14ac:dyDescent="0.25">
      <c r="A330" s="375">
        <f t="shared" ref="A330:F330" si="10">SUM(A329)</f>
        <v>172282.48959362449</v>
      </c>
      <c r="B330" s="375">
        <f t="shared" si="10"/>
        <v>172321.71359375</v>
      </c>
      <c r="C330" s="329">
        <f t="shared" si="10"/>
        <v>172099.54076004014</v>
      </c>
      <c r="D330" s="329">
        <f t="shared" si="10"/>
        <v>172611.1969676204</v>
      </c>
      <c r="E330" s="329">
        <f t="shared" si="10"/>
        <v>172305</v>
      </c>
      <c r="F330" s="329">
        <f t="shared" si="10"/>
        <v>172693</v>
      </c>
      <c r="G330" s="329">
        <f>SUM(H327)</f>
        <v>172346.52416658358</v>
      </c>
      <c r="H330" s="329">
        <f>SUM(G323)</f>
        <v>172659.69777246282</v>
      </c>
      <c r="I330" s="330">
        <f>(J323*100)^L323</f>
        <v>4142.728569433436</v>
      </c>
      <c r="J330" s="330">
        <f>INT(I330)+1</f>
        <v>4143</v>
      </c>
      <c r="K330" s="292">
        <f>(J330-K328/360)^L324/100</f>
        <v>171634.13265625</v>
      </c>
      <c r="L330" s="331">
        <f>INT(J330)+1</f>
        <v>4144</v>
      </c>
      <c r="M330" s="292">
        <f>(L330-K328/360)^L324/100</f>
        <v>171717.00015625</v>
      </c>
      <c r="N330" s="292">
        <f>(N329+M329)/2</f>
        <v>172712.97203125001</v>
      </c>
      <c r="O330" s="292">
        <f>(N329+N330)/2</f>
        <v>172702.58296875001</v>
      </c>
      <c r="P330" s="292">
        <f>(K330+M330)/2</f>
        <v>171675.56640625</v>
      </c>
      <c r="Q330" s="292">
        <f>((P330+L328)/2*100)^L323</f>
        <v>4148.3404296552735</v>
      </c>
      <c r="R330" s="292">
        <f>(R329+K328/360)^L324/100</f>
        <v>172152.38265625</v>
      </c>
      <c r="S330" s="151"/>
      <c r="T330" s="171"/>
      <c r="U330" s="171"/>
      <c r="V330" s="171"/>
      <c r="W330" s="171"/>
      <c r="X330" s="171"/>
      <c r="Y330" s="171"/>
      <c r="Z330" s="171"/>
      <c r="AA330" s="171"/>
      <c r="AB330" s="171"/>
      <c r="AC330" s="171"/>
      <c r="AD330" s="171"/>
      <c r="AE330" s="171"/>
      <c r="AF330" s="171"/>
      <c r="AG330" s="171"/>
      <c r="AH330" s="171"/>
      <c r="AI330" s="171"/>
      <c r="AJ330" s="171"/>
      <c r="AK330" s="171"/>
      <c r="AL330" s="151"/>
      <c r="AM330" s="661">
        <f t="shared" ref="AM330:AR330" si="11">SUM(AM329)</f>
        <v>137474.44382828186</v>
      </c>
      <c r="AN330" s="661">
        <f t="shared" si="11"/>
        <v>137514.19942708334</v>
      </c>
      <c r="AO330" s="661">
        <f t="shared" si="11"/>
        <v>137389.85346401227</v>
      </c>
      <c r="AP330" s="661">
        <f t="shared" si="11"/>
        <v>137298.50591287014</v>
      </c>
      <c r="AQ330" s="661">
        <f t="shared" si="11"/>
        <v>137212</v>
      </c>
      <c r="AR330" s="661">
        <f t="shared" si="11"/>
        <v>137699</v>
      </c>
      <c r="AS330" s="661">
        <f>SUM(AT327)</f>
        <v>137413.52185526927</v>
      </c>
      <c r="AT330" s="661">
        <f>SUM(AS323)</f>
        <v>137558.71572753551</v>
      </c>
      <c r="AU330" s="621">
        <f>(AV323*100)^AX323</f>
        <v>3705.9951430081501</v>
      </c>
      <c r="AV330" s="621">
        <f>INT(AU330)+1</f>
        <v>3706</v>
      </c>
      <c r="AW330" s="598">
        <f>(AV330-AW328/360)^AX324/100</f>
        <v>137335.09515625</v>
      </c>
      <c r="AX330" s="662">
        <f>INT(AV330)+1</f>
        <v>3707</v>
      </c>
      <c r="AY330" s="598">
        <f>(AX330-AW328/360)^AX324/100</f>
        <v>137409.22265625</v>
      </c>
      <c r="AZ330" s="598">
        <f>(AZ329+AY329)/2</f>
        <v>137112.83453125</v>
      </c>
      <c r="BA330" s="598">
        <f>(AZ329+AZ330)/2</f>
        <v>137103.57796875</v>
      </c>
      <c r="BB330" s="598">
        <f>(AW330+AY330)/2</f>
        <v>137372.15890625</v>
      </c>
      <c r="BC330" s="598">
        <f>((BB330+AX328)/2*100)^AX323</f>
        <v>3706.9371380308708</v>
      </c>
      <c r="BD330" s="598">
        <f>(BD329+AW328/360)^AX324/100</f>
        <v>137427.75765625</v>
      </c>
      <c r="BE330" s="502"/>
      <c r="BF330" s="502"/>
      <c r="BG330" s="502"/>
      <c r="BH330" s="502"/>
      <c r="BI330" s="502"/>
      <c r="BJ330" s="502"/>
      <c r="BK330" s="502"/>
      <c r="BL330" s="502"/>
      <c r="BM330" s="502"/>
      <c r="BN330" s="502"/>
      <c r="BO330" s="502"/>
      <c r="BP330" s="502"/>
      <c r="BQ330" s="502"/>
      <c r="BR330" s="502"/>
      <c r="BS330" s="502"/>
      <c r="BT330" s="502"/>
      <c r="BU330" s="502"/>
      <c r="BV330" s="502"/>
      <c r="BW330" s="502"/>
      <c r="BX330" s="502"/>
      <c r="BY330" s="797"/>
      <c r="BZ330" s="797"/>
      <c r="CA330" s="797"/>
      <c r="CB330" s="797"/>
      <c r="CC330" s="797"/>
      <c r="CD330" s="797"/>
      <c r="CE330" s="797"/>
      <c r="CF330" s="797"/>
      <c r="CG330" s="797"/>
      <c r="CH330" s="797"/>
      <c r="CI330" s="797"/>
      <c r="CJ330" s="797"/>
      <c r="CK330" s="797"/>
      <c r="CL330" s="797"/>
      <c r="CM330" s="797"/>
      <c r="CN330" s="797"/>
      <c r="CO330" s="797"/>
      <c r="CP330" s="797"/>
      <c r="CQ330" s="797"/>
      <c r="CR330" s="797"/>
      <c r="CS330" s="797"/>
      <c r="CT330" s="797"/>
      <c r="CU330" s="797"/>
    </row>
    <row r="331" spans="1:99" x14ac:dyDescent="0.25">
      <c r="A331" s="375">
        <f>SUM(C311)</f>
        <v>172693</v>
      </c>
      <c r="B331" s="375">
        <f>SUM(A320+A317)/2</f>
        <v>171657.80816745403</v>
      </c>
      <c r="C331" s="329">
        <f>SUM((A332/B332)*(B331+B331))/2</f>
        <v>172286.69216781287</v>
      </c>
      <c r="D331" s="329">
        <f>SUM(B331/C331)*(C331+B331)/2</f>
        <v>171344.51394915185</v>
      </c>
      <c r="E331" s="329">
        <f>SUM(C331/D331)*(C331+D331)/2</f>
        <v>172760.37167170944</v>
      </c>
      <c r="F331" s="329">
        <f>SUM(D331+E331)/2</f>
        <v>172052.44281043066</v>
      </c>
      <c r="G331" s="329">
        <f>SUM(E331/F331)*(F331+E331)/2</f>
        <v>173115.79252826306</v>
      </c>
      <c r="H331" s="329">
        <f>SUM(E331/G331)*(G331+E331)/2</f>
        <v>172583.02609745154</v>
      </c>
      <c r="I331" s="292">
        <f>(I324*100)^L323</f>
        <v>4152.1199404641484</v>
      </c>
      <c r="J331" s="292">
        <f>INT(I331)+1</f>
        <v>4153</v>
      </c>
      <c r="K331" s="292">
        <f>(J331+K328/360)^L324/100</f>
        <v>172484.47265625</v>
      </c>
      <c r="L331" s="292">
        <f>INT(J331)+1</f>
        <v>4154</v>
      </c>
      <c r="M331" s="292">
        <f>(L331+K328/360)^L324/100</f>
        <v>172567.54515625001</v>
      </c>
      <c r="N331" s="292">
        <f>(K331+M331)/2</f>
        <v>172526.00890625</v>
      </c>
      <c r="O331" s="292">
        <f>((N331+L328)/2*100)^L323</f>
        <v>4153.4624646567472</v>
      </c>
      <c r="P331" s="292">
        <f>INT(O331)+1</f>
        <v>4154</v>
      </c>
      <c r="Q331" s="292">
        <f>(P331+K328/360)^L324/100</f>
        <v>172567.54515625001</v>
      </c>
      <c r="R331" s="292"/>
      <c r="S331" s="151"/>
      <c r="T331" s="152"/>
      <c r="U331" s="153"/>
      <c r="V331" s="154"/>
      <c r="W331" s="154"/>
      <c r="X331" s="154"/>
      <c r="Y331" s="149"/>
      <c r="Z331" s="149"/>
      <c r="AA331" s="149"/>
      <c r="AB331" s="149"/>
      <c r="AC331" s="149"/>
      <c r="AD331" s="149"/>
      <c r="AE331" s="149"/>
      <c r="AF331" s="149"/>
      <c r="AG331" s="149"/>
      <c r="AH331" s="149"/>
      <c r="AI331" s="149"/>
      <c r="AJ331" s="149"/>
      <c r="AK331" s="150"/>
      <c r="AL331" s="151"/>
      <c r="AM331" s="661">
        <f>SUM(AO311)</f>
        <v>137699</v>
      </c>
      <c r="AN331" s="661">
        <f>SUM(AM320+AM317)/2</f>
        <v>135783.70920931152</v>
      </c>
      <c r="AO331" s="661">
        <f>SUM((AM332/AN332)*(AN331+AN331))/2</f>
        <v>136696.28787406464</v>
      </c>
      <c r="AP331" s="661">
        <f>SUM(AN331/AO331)*(AO331+AN331)/2</f>
        <v>135330.46604531421</v>
      </c>
      <c r="AQ331" s="661">
        <f>SUM(AO331/AP331)*(AO331+AP331)/2</f>
        <v>137386.09106230253</v>
      </c>
      <c r="AR331" s="661">
        <f>SUM(AP331+AQ331)/2</f>
        <v>136358.27855380837</v>
      </c>
      <c r="AS331" s="661">
        <f>SUM(AQ331/AR331)*(AR331+AQ331)/2</f>
        <v>137903.87093010586</v>
      </c>
      <c r="AT331" s="661">
        <f>SUM(AQ331/AS331)*(AS331+AQ331)/2</f>
        <v>137128.17316779937</v>
      </c>
      <c r="AU331" s="598">
        <f>(AU324*100)^AX323</f>
        <v>3714.4851594803822</v>
      </c>
      <c r="AV331" s="598">
        <f>INT(AU331)+1</f>
        <v>3715</v>
      </c>
      <c r="AW331" s="598">
        <f>(AV331+AW328/360)^AX324/100</f>
        <v>138021.53765625</v>
      </c>
      <c r="AX331" s="598">
        <f>INT(AV331)+1</f>
        <v>3716</v>
      </c>
      <c r="AY331" s="598">
        <f>(AX331+AW328/360)^AX324/100</f>
        <v>138095.85015625</v>
      </c>
      <c r="AZ331" s="598">
        <f>(AW331+AY331)/2</f>
        <v>138058.69390625</v>
      </c>
      <c r="BA331" s="598">
        <f>((AZ331+AX328)/2*100)^AX323</f>
        <v>3711.5643191668523</v>
      </c>
      <c r="BB331" s="598">
        <f>INT(BA331)+1</f>
        <v>3712</v>
      </c>
      <c r="BC331" s="598">
        <f>(BB331+AW328/360)^AX324/100</f>
        <v>137798.72015625</v>
      </c>
      <c r="BD331" s="598"/>
      <c r="BE331" s="502"/>
      <c r="BF331" s="503"/>
      <c r="BG331" s="504"/>
      <c r="BH331" s="505"/>
      <c r="BI331" s="505"/>
      <c r="BJ331" s="505"/>
      <c r="BK331" s="500"/>
      <c r="BL331" s="500"/>
      <c r="BM331" s="500"/>
      <c r="BN331" s="500"/>
      <c r="BO331" s="500"/>
      <c r="BP331" s="500"/>
      <c r="BQ331" s="500"/>
      <c r="BR331" s="500"/>
      <c r="BS331" s="500"/>
      <c r="BT331" s="500"/>
      <c r="BU331" s="500"/>
      <c r="BV331" s="500"/>
      <c r="BW331" s="501"/>
      <c r="BX331" s="502"/>
      <c r="BY331" s="797"/>
      <c r="BZ331" s="797"/>
      <c r="CA331" s="797"/>
      <c r="CB331" s="797"/>
      <c r="CC331" s="797"/>
      <c r="CD331" s="797"/>
      <c r="CE331" s="797"/>
      <c r="CF331" s="797"/>
      <c r="CG331" s="797"/>
      <c r="CH331" s="797"/>
      <c r="CI331" s="797"/>
      <c r="CJ331" s="797"/>
      <c r="CK331" s="797"/>
      <c r="CL331" s="797"/>
      <c r="CM331" s="797"/>
      <c r="CN331" s="797"/>
      <c r="CO331" s="797"/>
      <c r="CP331" s="797"/>
      <c r="CQ331" s="797"/>
      <c r="CR331" s="797"/>
      <c r="CS331" s="797"/>
      <c r="CT331" s="797"/>
      <c r="CU331" s="797"/>
    </row>
    <row r="332" spans="1:99" x14ac:dyDescent="0.25">
      <c r="A332" s="334">
        <f>SUM(A331)</f>
        <v>172693</v>
      </c>
      <c r="B332" s="334">
        <f>SUM(H326+E327)/2</f>
        <v>172062.63288744213</v>
      </c>
      <c r="C332" s="333">
        <f>SUM(A332/B332)*(A332+B332)/2</f>
        <v>173009.33825991774</v>
      </c>
      <c r="D332" s="333">
        <f>SUM(B332/C332)*(B332+A332)/2</f>
        <v>171434.56675232164</v>
      </c>
      <c r="E332" s="333">
        <f>SUM(C332/D332)*(D332+A332)/2</f>
        <v>173644.33477068463</v>
      </c>
      <c r="F332" s="333">
        <f>SUM(D332/A332)*(E332+A332)/2</f>
        <v>171906.76789611072</v>
      </c>
      <c r="G332" s="333">
        <f>SUM(E332/F332)*(A332+F332)/2</f>
        <v>174041.42428707215</v>
      </c>
      <c r="H332" s="333">
        <f>SUM(A332/G332)*(G332+A332)/2</f>
        <v>172024.01146361785</v>
      </c>
      <c r="I332" s="292">
        <f>(J324*100)^L323</f>
        <v>4145.9136508132924</v>
      </c>
      <c r="J332" s="292">
        <f>INT(I332)+1</f>
        <v>4146</v>
      </c>
      <c r="K332" s="292">
        <f>(J332+K328/360)^L324/100</f>
        <v>171903.52515624999</v>
      </c>
      <c r="L332" s="292">
        <f>INT(I332)+1</f>
        <v>4146</v>
      </c>
      <c r="M332" s="292">
        <f>(L332+K328/360)^L324/100</f>
        <v>171903.52515624999</v>
      </c>
      <c r="N332" s="292">
        <f>(K332+M332)/2</f>
        <v>171903.52515624999</v>
      </c>
      <c r="O332" s="292">
        <f>((N332+L328)/2*100)^L323</f>
        <v>4149.7139971102224</v>
      </c>
      <c r="P332" s="292">
        <f>INT(O332)+1</f>
        <v>4150</v>
      </c>
      <c r="Q332" s="292">
        <f>(P332+K328/360)^L324/100</f>
        <v>172235.37515625</v>
      </c>
      <c r="R332" s="292"/>
      <c r="S332" s="151"/>
      <c r="T332" s="163"/>
      <c r="U332" s="153"/>
      <c r="V332" s="164"/>
      <c r="W332" s="154"/>
      <c r="X332" s="163"/>
      <c r="Y332" s="165"/>
      <c r="Z332" s="161"/>
      <c r="AA332" s="152"/>
      <c r="AB332" s="161"/>
      <c r="AC332" s="161"/>
      <c r="AD332" s="161"/>
      <c r="AE332" s="161"/>
      <c r="AF332" s="161"/>
      <c r="AG332" s="161"/>
      <c r="AH332" s="161"/>
      <c r="AI332" s="161"/>
      <c r="AJ332" s="162"/>
      <c r="AK332" s="150"/>
      <c r="AL332" s="151"/>
      <c r="AM332" s="663">
        <f>SUM(AM331)</f>
        <v>137699</v>
      </c>
      <c r="AN332" s="663">
        <f>SUM(AT326+AQ327)/2</f>
        <v>136779.72727129498</v>
      </c>
      <c r="AO332" s="663">
        <f>SUM(AM332/AN332)*(AM332+AN332)/2</f>
        <v>138161.72550031805</v>
      </c>
      <c r="AP332" s="663">
        <f>SUM(AN332/AO332)*(AN332+AM332)/2</f>
        <v>135866.59156863764</v>
      </c>
      <c r="AQ332" s="663">
        <f>SUM(AO332/AP332)*(AP332+AM332)/2</f>
        <v>139093.40674651484</v>
      </c>
      <c r="AR332" s="663">
        <f>SUM(AP332/AM332)*(AQ332+AM332)/2</f>
        <v>136554.51701438992</v>
      </c>
      <c r="AS332" s="663">
        <f>SUM(AQ332/AR332)*(AM332+AR332)/2</f>
        <v>139676.28763874908</v>
      </c>
      <c r="AT332" s="663">
        <f>SUM(AM332/AS332)*(AS332+AM332)/2</f>
        <v>136724.35163566098</v>
      </c>
      <c r="AU332" s="598">
        <f>(AV324*100)^AX323</f>
        <v>3708.0587913354339</v>
      </c>
      <c r="AV332" s="598">
        <f>INT(AU332)+1</f>
        <v>3709</v>
      </c>
      <c r="AW332" s="598">
        <f>(AV332+AW328/360)^AX324/100</f>
        <v>137576.08265624999</v>
      </c>
      <c r="AX332" s="598">
        <f>INT(AU332)+1</f>
        <v>3709</v>
      </c>
      <c r="AY332" s="598">
        <f>(AX332+AW328/360)^AX324/100</f>
        <v>137576.08265624999</v>
      </c>
      <c r="AZ332" s="598">
        <f>(AW332+AY332)/2</f>
        <v>137576.08265624999</v>
      </c>
      <c r="BA332" s="598">
        <f>((AZ332+AX328)/2*100)^AX323</f>
        <v>3708.3121676596347</v>
      </c>
      <c r="BB332" s="598">
        <f>INT(BA332)+1</f>
        <v>3709</v>
      </c>
      <c r="BC332" s="598">
        <f>(BB332+AW328/360)^AX324/100</f>
        <v>137576.08265624999</v>
      </c>
      <c r="BD332" s="598"/>
      <c r="BE332" s="502"/>
      <c r="BF332" s="514"/>
      <c r="BG332" s="504"/>
      <c r="BH332" s="515"/>
      <c r="BI332" s="505"/>
      <c r="BJ332" s="514"/>
      <c r="BK332" s="516"/>
      <c r="BL332" s="512"/>
      <c r="BM332" s="503"/>
      <c r="BN332" s="512"/>
      <c r="BO332" s="512"/>
      <c r="BP332" s="512"/>
      <c r="BQ332" s="512"/>
      <c r="BR332" s="512"/>
      <c r="BS332" s="512"/>
      <c r="BT332" s="512"/>
      <c r="BU332" s="512"/>
      <c r="BV332" s="513"/>
      <c r="BW332" s="501"/>
      <c r="BX332" s="502"/>
      <c r="BY332" s="797"/>
      <c r="BZ332" s="797"/>
      <c r="CA332" s="797"/>
      <c r="CB332" s="797"/>
      <c r="CC332" s="797"/>
      <c r="CD332" s="797"/>
      <c r="CE332" s="797"/>
      <c r="CF332" s="797"/>
      <c r="CG332" s="797"/>
      <c r="CH332" s="797"/>
      <c r="CI332" s="797"/>
      <c r="CJ332" s="797"/>
      <c r="CK332" s="797"/>
      <c r="CL332" s="797"/>
      <c r="CM332" s="797"/>
      <c r="CN332" s="797"/>
      <c r="CO332" s="797"/>
      <c r="CP332" s="797"/>
      <c r="CQ332" s="797"/>
      <c r="CR332" s="797"/>
      <c r="CS332" s="797"/>
      <c r="CT332" s="797"/>
      <c r="CU332" s="797"/>
    </row>
    <row r="333" spans="1:99" x14ac:dyDescent="0.25">
      <c r="A333" s="334">
        <f>SUM(A332)</f>
        <v>172693</v>
      </c>
      <c r="B333" s="334">
        <f>SUM(C330)</f>
        <v>172099.54076004014</v>
      </c>
      <c r="C333" s="334">
        <f>SUM(B314+A319)/2</f>
        <v>171841.72797579458</v>
      </c>
      <c r="D333" s="334">
        <f>SUM(A319)</f>
        <v>171452.90497172525</v>
      </c>
      <c r="E333" s="334">
        <f>SUM(A320)</f>
        <v>171536.87742049858</v>
      </c>
      <c r="F333" s="334">
        <f>SUM(((A333/B333)+(C333/B333))/2)*(B333+C333)/2</f>
        <v>172138.33189243608</v>
      </c>
      <c r="G333" s="334">
        <f>SUM(((D333/F333)+(E333/C333))/2*(D333+E333+F333)/3)</f>
        <v>171215.20411725712</v>
      </c>
      <c r="H333" s="334">
        <f>SUM(((G333/E333)+(E333/B333))/2*(B333+D333+G333)/3)</f>
        <v>171147.83344910797</v>
      </c>
      <c r="I333" s="335"/>
      <c r="J333" s="257"/>
      <c r="K333" s="257"/>
      <c r="L333" s="257"/>
      <c r="M333" s="257"/>
      <c r="N333" s="257"/>
      <c r="O333" s="257"/>
      <c r="P333" s="257"/>
      <c r="Q333" s="257"/>
      <c r="R333" s="257"/>
      <c r="S333" s="151"/>
      <c r="T333" s="163"/>
      <c r="U333" s="172"/>
      <c r="V333" s="154"/>
      <c r="W333" s="154"/>
      <c r="X333" s="173"/>
      <c r="Y333" s="174"/>
      <c r="Z333" s="161"/>
      <c r="AA333" s="161"/>
      <c r="AB333" s="161"/>
      <c r="AC333" s="161"/>
      <c r="AD333" s="161"/>
      <c r="AE333" s="161"/>
      <c r="AF333" s="161"/>
      <c r="AG333" s="161"/>
      <c r="AH333" s="161"/>
      <c r="AI333" s="161"/>
      <c r="AJ333" s="149"/>
      <c r="AK333" s="171"/>
      <c r="AL333" s="151"/>
      <c r="AM333" s="663">
        <f>SUM(AM332)</f>
        <v>137699</v>
      </c>
      <c r="AN333" s="663">
        <f>SUM(AO330)</f>
        <v>137389.85346401227</v>
      </c>
      <c r="AO333" s="663">
        <f>SUM(AN314+AM319)/2</f>
        <v>136195.56255727456</v>
      </c>
      <c r="AP333" s="663">
        <f>SUM(AM319)</f>
        <v>135603.12908456565</v>
      </c>
      <c r="AQ333" s="663">
        <f>SUM(AM320)</f>
        <v>135421.49003805235</v>
      </c>
      <c r="AR333" s="663">
        <f>SUM(((AM333/AN333)+(AO333/AN333))/2)*(AN333+AO333)/2</f>
        <v>136352.05940231305</v>
      </c>
      <c r="AS333" s="663">
        <f>SUM(((AP333/AR333)+(AQ333/AO333))/2*(AP333+AQ333+AR333)/3)</f>
        <v>135033.40842126191</v>
      </c>
      <c r="AT333" s="663">
        <f>SUM(((AS333/AQ333)+(AQ333/AN333))/2*(AN333+AP333+AS333)/3)</f>
        <v>134839.6260290652</v>
      </c>
      <c r="AU333" s="664"/>
      <c r="AV333" s="599"/>
      <c r="AW333" s="599"/>
      <c r="AX333" s="599"/>
      <c r="AY333" s="599"/>
      <c r="AZ333" s="599"/>
      <c r="BA333" s="599"/>
      <c r="BB333" s="599"/>
      <c r="BC333" s="599"/>
      <c r="BD333" s="599"/>
      <c r="BE333" s="502"/>
      <c r="BF333" s="514"/>
      <c r="BG333" s="522"/>
      <c r="BH333" s="505"/>
      <c r="BI333" s="505"/>
      <c r="BJ333" s="523"/>
      <c r="BK333" s="524"/>
      <c r="BL333" s="512"/>
      <c r="BM333" s="512"/>
      <c r="BN333" s="512"/>
      <c r="BO333" s="512"/>
      <c r="BP333" s="512"/>
      <c r="BQ333" s="512"/>
      <c r="BR333" s="512"/>
      <c r="BS333" s="512"/>
      <c r="BT333" s="512"/>
      <c r="BU333" s="512"/>
      <c r="BV333" s="500"/>
      <c r="BW333" s="502"/>
      <c r="BX333" s="502"/>
      <c r="BY333" s="797"/>
      <c r="BZ333" s="797"/>
      <c r="CA333" s="797"/>
      <c r="CB333" s="797"/>
      <c r="CC333" s="797"/>
      <c r="CD333" s="797"/>
      <c r="CE333" s="797"/>
      <c r="CF333" s="797"/>
      <c r="CG333" s="797"/>
      <c r="CH333" s="797"/>
      <c r="CI333" s="797"/>
      <c r="CJ333" s="797"/>
      <c r="CK333" s="797"/>
      <c r="CL333" s="797"/>
      <c r="CM333" s="797"/>
      <c r="CN333" s="797"/>
      <c r="CO333" s="797"/>
      <c r="CP333" s="797"/>
      <c r="CQ333" s="797"/>
      <c r="CR333" s="797"/>
      <c r="CS333" s="797"/>
      <c r="CT333" s="797"/>
      <c r="CU333" s="797"/>
    </row>
    <row r="334" spans="1:99" x14ac:dyDescent="0.25">
      <c r="A334" s="334">
        <f>SUM(D311)</f>
        <v>172305</v>
      </c>
      <c r="B334" s="334">
        <f>SUM(C311)</f>
        <v>172693</v>
      </c>
      <c r="C334" s="333">
        <f>SUM(A320)</f>
        <v>171536.87742049858</v>
      </c>
      <c r="D334" s="333">
        <f>SUM(A313)</f>
        <v>171461.26378837429</v>
      </c>
      <c r="E334" s="333">
        <f>SUM(B314)</f>
        <v>172230.55097986394</v>
      </c>
      <c r="F334" s="334">
        <f>SUM(A334)</f>
        <v>172305</v>
      </c>
      <c r="G334" s="334">
        <f>SUM(B334)</f>
        <v>172693</v>
      </c>
      <c r="H334" s="334">
        <f>SUM(C334)</f>
        <v>171536.87742049858</v>
      </c>
      <c r="I334" s="257"/>
      <c r="J334" s="257"/>
      <c r="K334" s="257"/>
      <c r="L334" s="257"/>
      <c r="M334" s="257"/>
      <c r="N334" s="257"/>
      <c r="O334" s="257"/>
      <c r="P334" s="257"/>
      <c r="Q334" s="257"/>
      <c r="R334" s="257"/>
      <c r="S334" s="151"/>
      <c r="T334" s="277"/>
      <c r="U334" s="153"/>
      <c r="V334" s="154"/>
      <c r="W334" s="154"/>
      <c r="X334" s="163"/>
      <c r="Y334" s="174"/>
      <c r="Z334" s="161"/>
      <c r="AA334" s="152"/>
      <c r="AB334" s="161"/>
      <c r="AC334" s="161"/>
      <c r="AD334" s="161"/>
      <c r="AE334" s="161"/>
      <c r="AF334" s="161"/>
      <c r="AG334" s="161"/>
      <c r="AH334" s="161"/>
      <c r="AI334" s="152"/>
      <c r="AJ334" s="162"/>
      <c r="AK334" s="150"/>
      <c r="AL334" s="151"/>
      <c r="AM334" s="663">
        <f>SUM(AP311)</f>
        <v>137212</v>
      </c>
      <c r="AN334" s="663">
        <f>SUM(AO311)</f>
        <v>137699</v>
      </c>
      <c r="AO334" s="663">
        <f>SUM(AM320)</f>
        <v>135421.49003805235</v>
      </c>
      <c r="AP334" s="663">
        <f>SUM(AM313)</f>
        <v>135344.56759715115</v>
      </c>
      <c r="AQ334" s="663">
        <f>SUM(AN314)</f>
        <v>136787.99602998348</v>
      </c>
      <c r="AR334" s="663">
        <f>SUM(AM334)</f>
        <v>137212</v>
      </c>
      <c r="AS334" s="663">
        <f>SUM(AN334)</f>
        <v>137699</v>
      </c>
      <c r="AT334" s="663">
        <f>SUM(AO334)</f>
        <v>135421.49003805235</v>
      </c>
      <c r="AU334" s="599"/>
      <c r="AV334" s="599"/>
      <c r="AW334" s="599"/>
      <c r="AX334" s="599"/>
      <c r="AY334" s="599"/>
      <c r="AZ334" s="599"/>
      <c r="BA334" s="599"/>
      <c r="BB334" s="599"/>
      <c r="BC334" s="599"/>
      <c r="BD334" s="599"/>
      <c r="BE334" s="502"/>
      <c r="BF334" s="616"/>
      <c r="BG334" s="504"/>
      <c r="BH334" s="505"/>
      <c r="BI334" s="505"/>
      <c r="BJ334" s="514"/>
      <c r="BK334" s="524"/>
      <c r="BL334" s="512"/>
      <c r="BM334" s="503"/>
      <c r="BN334" s="512"/>
      <c r="BO334" s="512"/>
      <c r="BP334" s="512"/>
      <c r="BQ334" s="512"/>
      <c r="BR334" s="512"/>
      <c r="BS334" s="512"/>
      <c r="BT334" s="512"/>
      <c r="BU334" s="503"/>
      <c r="BV334" s="513"/>
      <c r="BW334" s="501"/>
      <c r="BX334" s="502"/>
      <c r="BY334" s="797"/>
      <c r="BZ334" s="797"/>
      <c r="CA334" s="797"/>
      <c r="CB334" s="797"/>
      <c r="CC334" s="797"/>
      <c r="CD334" s="797"/>
      <c r="CE334" s="797"/>
      <c r="CF334" s="797"/>
      <c r="CG334" s="797"/>
      <c r="CH334" s="797"/>
      <c r="CI334" s="797"/>
      <c r="CJ334" s="797"/>
      <c r="CK334" s="797"/>
      <c r="CL334" s="797"/>
      <c r="CM334" s="797"/>
      <c r="CN334" s="797"/>
      <c r="CO334" s="797"/>
      <c r="CP334" s="797"/>
      <c r="CQ334" s="797"/>
      <c r="CR334" s="797"/>
      <c r="CS334" s="797"/>
      <c r="CT334" s="797"/>
      <c r="CU334" s="797"/>
    </row>
    <row r="335" spans="1:99" x14ac:dyDescent="0.25">
      <c r="A335" s="287">
        <f>SUM(H311)</f>
        <v>172282.48959362449</v>
      </c>
      <c r="B335" s="287">
        <f>SUM(G311)</f>
        <v>172321.71359375</v>
      </c>
      <c r="C335" s="336">
        <f>SUM(F311)</f>
        <v>172099.54076004014</v>
      </c>
      <c r="D335" s="336">
        <f>SUM(E311)</f>
        <v>172611.1969676204</v>
      </c>
      <c r="E335" s="336">
        <f>SUM(D311)</f>
        <v>172305</v>
      </c>
      <c r="F335" s="336">
        <f>SUM(C311)</f>
        <v>172693</v>
      </c>
      <c r="G335" s="337">
        <f>SUM(A320)</f>
        <v>171536.87742049858</v>
      </c>
      <c r="H335" s="337">
        <f>SUM(A319)</f>
        <v>171452.90497172525</v>
      </c>
      <c r="I335" s="292"/>
      <c r="J335" s="292"/>
      <c r="K335" s="292"/>
      <c r="L335" s="292"/>
      <c r="M335" s="292"/>
      <c r="N335" s="292"/>
      <c r="O335" s="292"/>
      <c r="P335" s="292"/>
      <c r="Q335" s="292"/>
      <c r="R335" s="292"/>
      <c r="S335" s="151"/>
      <c r="T335" s="277"/>
      <c r="U335" s="180"/>
      <c r="V335" s="163"/>
      <c r="W335" s="154"/>
      <c r="X335" s="154"/>
      <c r="Y335" s="161"/>
      <c r="Z335" s="161"/>
      <c r="AA335" s="161"/>
      <c r="AB335" s="161"/>
      <c r="AC335" s="161"/>
      <c r="AD335" s="161"/>
      <c r="AE335" s="161"/>
      <c r="AF335" s="161"/>
      <c r="AG335" s="162"/>
      <c r="AH335" s="152"/>
      <c r="AI335" s="152"/>
      <c r="AJ335" s="162"/>
      <c r="AK335" s="171"/>
      <c r="AL335" s="151"/>
      <c r="AM335" s="625">
        <f>SUM(AT311)</f>
        <v>137474.44382828186</v>
      </c>
      <c r="AN335" s="625">
        <f>SUM(AS311)</f>
        <v>137514.19942708334</v>
      </c>
      <c r="AO335" s="625">
        <f>SUM(AR311)</f>
        <v>137389.85346401227</v>
      </c>
      <c r="AP335" s="625">
        <f>SUM(AQ311)</f>
        <v>137298.50591287014</v>
      </c>
      <c r="AQ335" s="625">
        <f>SUM(AP311)</f>
        <v>137212</v>
      </c>
      <c r="AR335" s="625">
        <f>SUM(AO311)</f>
        <v>137699</v>
      </c>
      <c r="AS335" s="612">
        <f>SUM(AM320)</f>
        <v>135421.49003805235</v>
      </c>
      <c r="AT335" s="612">
        <f>SUM(AM319)</f>
        <v>135603.12908456565</v>
      </c>
      <c r="AU335" s="598"/>
      <c r="AV335" s="598"/>
      <c r="AW335" s="598"/>
      <c r="AX335" s="598"/>
      <c r="AY335" s="598"/>
      <c r="AZ335" s="598"/>
      <c r="BA335" s="598"/>
      <c r="BB335" s="598"/>
      <c r="BC335" s="598"/>
      <c r="BD335" s="598"/>
      <c r="BE335" s="502"/>
      <c r="BF335" s="616"/>
      <c r="BG335" s="531"/>
      <c r="BH335" s="514"/>
      <c r="BI335" s="505"/>
      <c r="BJ335" s="505"/>
      <c r="BK335" s="512"/>
      <c r="BL335" s="512"/>
      <c r="BM335" s="512"/>
      <c r="BN335" s="512"/>
      <c r="BO335" s="512"/>
      <c r="BP335" s="512"/>
      <c r="BQ335" s="512"/>
      <c r="BR335" s="512"/>
      <c r="BS335" s="513"/>
      <c r="BT335" s="503"/>
      <c r="BU335" s="503"/>
      <c r="BV335" s="513"/>
      <c r="BW335" s="502"/>
      <c r="BX335" s="502"/>
      <c r="BY335" s="797"/>
      <c r="BZ335" s="797"/>
      <c r="CA335" s="797"/>
      <c r="CB335" s="797"/>
      <c r="CC335" s="797"/>
      <c r="CD335" s="797"/>
      <c r="CE335" s="797"/>
      <c r="CF335" s="797"/>
      <c r="CG335" s="797"/>
      <c r="CH335" s="797"/>
      <c r="CI335" s="797"/>
      <c r="CJ335" s="797"/>
      <c r="CK335" s="797"/>
      <c r="CL335" s="797"/>
      <c r="CM335" s="797"/>
      <c r="CN335" s="797"/>
      <c r="CO335" s="797"/>
      <c r="CP335" s="797"/>
      <c r="CQ335" s="797"/>
      <c r="CR335" s="797"/>
      <c r="CS335" s="797"/>
      <c r="CT335" s="797"/>
      <c r="CU335" s="797"/>
    </row>
    <row r="336" spans="1:99" x14ac:dyDescent="0.25">
      <c r="A336" s="256"/>
      <c r="B336" s="256"/>
      <c r="C336" s="292"/>
      <c r="D336" s="292"/>
      <c r="E336" s="292"/>
      <c r="F336" s="292"/>
      <c r="G336" s="292"/>
      <c r="H336" s="292"/>
      <c r="I336" s="292"/>
      <c r="J336" s="292"/>
      <c r="K336" s="292"/>
      <c r="L336" s="292"/>
      <c r="M336" s="292"/>
      <c r="N336" s="292"/>
      <c r="O336" s="292"/>
      <c r="P336" s="292"/>
      <c r="Q336" s="292"/>
      <c r="R336" s="292"/>
      <c r="S336" s="151"/>
      <c r="T336" s="277"/>
      <c r="U336" s="154"/>
      <c r="V336" s="154"/>
      <c r="W336" s="154"/>
      <c r="X336" s="154"/>
      <c r="Y336" s="161"/>
      <c r="Z336" s="161"/>
      <c r="AA336" s="161"/>
      <c r="AB336" s="161"/>
      <c r="AC336" s="161"/>
      <c r="AD336" s="161"/>
      <c r="AE336" s="161"/>
      <c r="AF336" s="161"/>
      <c r="AG336" s="161"/>
      <c r="AH336" s="152"/>
      <c r="AI336" s="152"/>
      <c r="AJ336" s="183"/>
      <c r="AK336" s="184"/>
      <c r="AL336" s="151"/>
      <c r="AM336" s="598"/>
      <c r="AN336" s="598"/>
      <c r="AO336" s="598"/>
      <c r="AP336" s="598"/>
      <c r="AQ336" s="598"/>
      <c r="AR336" s="598"/>
      <c r="AS336" s="598"/>
      <c r="AT336" s="598"/>
      <c r="AU336" s="598"/>
      <c r="AV336" s="598"/>
      <c r="AW336" s="598"/>
      <c r="AX336" s="598"/>
      <c r="AY336" s="598"/>
      <c r="AZ336" s="598"/>
      <c r="BA336" s="598"/>
      <c r="BB336" s="598"/>
      <c r="BC336" s="598"/>
      <c r="BD336" s="598"/>
      <c r="BE336" s="502"/>
      <c r="BF336" s="616"/>
      <c r="BG336" s="505"/>
      <c r="BH336" s="505"/>
      <c r="BI336" s="505"/>
      <c r="BJ336" s="505"/>
      <c r="BK336" s="512"/>
      <c r="BL336" s="512"/>
      <c r="BM336" s="512"/>
      <c r="BN336" s="512"/>
      <c r="BO336" s="512"/>
      <c r="BP336" s="512"/>
      <c r="BQ336" s="512"/>
      <c r="BR336" s="512"/>
      <c r="BS336" s="512"/>
      <c r="BT336" s="503"/>
      <c r="BU336" s="503"/>
      <c r="BV336" s="534"/>
      <c r="BW336" s="535"/>
      <c r="BX336" s="502"/>
      <c r="BY336" s="797"/>
      <c r="BZ336" s="797"/>
      <c r="CA336" s="797"/>
      <c r="CB336" s="797"/>
      <c r="CC336" s="797"/>
      <c r="CD336" s="797"/>
      <c r="CE336" s="797"/>
      <c r="CF336" s="797"/>
      <c r="CG336" s="797"/>
      <c r="CH336" s="797"/>
      <c r="CI336" s="797"/>
      <c r="CJ336" s="797"/>
      <c r="CK336" s="797"/>
      <c r="CL336" s="797"/>
      <c r="CM336" s="797"/>
      <c r="CN336" s="797"/>
      <c r="CO336" s="797"/>
      <c r="CP336" s="797"/>
      <c r="CQ336" s="797"/>
      <c r="CR336" s="797"/>
      <c r="CS336" s="797"/>
      <c r="CT336" s="797"/>
      <c r="CU336" s="797"/>
    </row>
    <row r="337" spans="1:99" x14ac:dyDescent="0.25">
      <c r="A337" s="376"/>
      <c r="B337" s="376"/>
      <c r="C337" s="3"/>
      <c r="D337" s="696"/>
      <c r="E337" s="696"/>
      <c r="F337" s="696"/>
      <c r="G337" s="696"/>
      <c r="H337" s="696"/>
      <c r="I337" s="696"/>
      <c r="J337" s="696"/>
      <c r="K337" s="166"/>
      <c r="L337" s="166"/>
      <c r="M337" s="166"/>
      <c r="N337" s="166"/>
      <c r="O337" s="166"/>
      <c r="P337" s="166"/>
      <c r="Q337" s="166"/>
      <c r="R337" s="166"/>
      <c r="S337" s="151"/>
      <c r="T337" s="163"/>
      <c r="U337" s="163"/>
      <c r="V337" s="163"/>
      <c r="W337" s="163"/>
      <c r="X337" s="163"/>
      <c r="Y337" s="152"/>
      <c r="Z337" s="152"/>
      <c r="AA337" s="161"/>
      <c r="AB337" s="161"/>
      <c r="AC337" s="161"/>
      <c r="AD337" s="161"/>
      <c r="AE337" s="161"/>
      <c r="AF337" s="161"/>
      <c r="AG337" s="161"/>
      <c r="AH337" s="161"/>
      <c r="AI337" s="152"/>
      <c r="AJ337" s="191"/>
      <c r="AK337" s="192"/>
      <c r="AL337" s="151"/>
      <c r="AM337" s="697"/>
      <c r="AN337" s="697"/>
      <c r="AO337" s="697"/>
      <c r="AP337" s="698"/>
      <c r="AQ337" s="698"/>
      <c r="AR337" s="698"/>
      <c r="AS337" s="698"/>
      <c r="AT337" s="698"/>
      <c r="AU337" s="698"/>
      <c r="AV337" s="698"/>
      <c r="AW337" s="517"/>
      <c r="AX337" s="517"/>
      <c r="AY337" s="517"/>
      <c r="AZ337" s="517"/>
      <c r="BA337" s="517"/>
      <c r="BB337" s="517"/>
      <c r="BC337" s="517"/>
      <c r="BD337" s="517"/>
      <c r="BE337" s="502"/>
      <c r="BF337" s="514"/>
      <c r="BG337" s="514"/>
      <c r="BH337" s="514"/>
      <c r="BI337" s="514"/>
      <c r="BJ337" s="514"/>
      <c r="BK337" s="503"/>
      <c r="BL337" s="503"/>
      <c r="BM337" s="512"/>
      <c r="BN337" s="512"/>
      <c r="BO337" s="512"/>
      <c r="BP337" s="512"/>
      <c r="BQ337" s="512"/>
      <c r="BR337" s="512"/>
      <c r="BS337" s="512"/>
      <c r="BT337" s="512"/>
      <c r="BU337" s="503"/>
      <c r="BV337" s="542"/>
      <c r="BW337" s="543"/>
      <c r="BX337" s="502"/>
      <c r="BY337" s="797"/>
      <c r="BZ337" s="797"/>
      <c r="CA337" s="797"/>
      <c r="CB337" s="797"/>
      <c r="CC337" s="797"/>
      <c r="CD337" s="797"/>
      <c r="CE337" s="797"/>
      <c r="CF337" s="797"/>
      <c r="CG337" s="797"/>
      <c r="CH337" s="797"/>
      <c r="CI337" s="797"/>
      <c r="CJ337" s="797"/>
      <c r="CK337" s="797"/>
      <c r="CL337" s="797"/>
      <c r="CM337" s="797"/>
      <c r="CN337" s="797"/>
      <c r="CO337" s="797"/>
      <c r="CP337" s="797"/>
      <c r="CQ337" s="797"/>
      <c r="CR337" s="797"/>
      <c r="CS337" s="797"/>
      <c r="CT337" s="797"/>
      <c r="CU337" s="797"/>
    </row>
    <row r="338" spans="1:99" x14ac:dyDescent="0.25">
      <c r="A338" s="3"/>
      <c r="B338" s="3"/>
      <c r="C338" s="3"/>
      <c r="D338" s="696"/>
      <c r="E338" s="696"/>
      <c r="F338" s="696"/>
      <c r="G338" s="696"/>
      <c r="H338" s="696"/>
      <c r="I338" s="696"/>
      <c r="J338" s="696"/>
      <c r="K338" s="166"/>
      <c r="L338" s="166"/>
      <c r="M338" s="166"/>
      <c r="N338" s="166"/>
      <c r="O338" s="166"/>
      <c r="P338" s="166"/>
      <c r="Q338" s="166"/>
      <c r="R338" s="166"/>
      <c r="S338" s="151"/>
      <c r="T338" s="163"/>
      <c r="U338" s="163"/>
      <c r="V338" s="154"/>
      <c r="W338" s="154"/>
      <c r="X338" s="154"/>
      <c r="Y338" s="161"/>
      <c r="Z338" s="161"/>
      <c r="AA338" s="161"/>
      <c r="AB338" s="161"/>
      <c r="AC338" s="161"/>
      <c r="AD338" s="161"/>
      <c r="AE338" s="161"/>
      <c r="AF338" s="161"/>
      <c r="AG338" s="161"/>
      <c r="AH338" s="161"/>
      <c r="AI338" s="152"/>
      <c r="AJ338" s="149"/>
      <c r="AK338" s="192"/>
      <c r="AL338" s="151"/>
      <c r="AM338" s="697"/>
      <c r="AN338" s="697"/>
      <c r="AO338" s="697"/>
      <c r="AP338" s="698"/>
      <c r="AQ338" s="698"/>
      <c r="AR338" s="698"/>
      <c r="AS338" s="698"/>
      <c r="AT338" s="698"/>
      <c r="AU338" s="698"/>
      <c r="AV338" s="698"/>
      <c r="AW338" s="517"/>
      <c r="AX338" s="517"/>
      <c r="AY338" s="517"/>
      <c r="AZ338" s="517"/>
      <c r="BA338" s="517"/>
      <c r="BB338" s="517"/>
      <c r="BC338" s="517"/>
      <c r="BD338" s="517"/>
      <c r="BE338" s="502"/>
      <c r="BF338" s="514"/>
      <c r="BG338" s="514"/>
      <c r="BH338" s="505"/>
      <c r="BI338" s="505"/>
      <c r="BJ338" s="505"/>
      <c r="BK338" s="512"/>
      <c r="BL338" s="512"/>
      <c r="BM338" s="512"/>
      <c r="BN338" s="512"/>
      <c r="BO338" s="512"/>
      <c r="BP338" s="512"/>
      <c r="BQ338" s="512"/>
      <c r="BR338" s="512"/>
      <c r="BS338" s="512"/>
      <c r="BT338" s="512"/>
      <c r="BU338" s="503"/>
      <c r="BV338" s="500"/>
      <c r="BW338" s="543"/>
      <c r="BX338" s="502"/>
      <c r="BY338" s="797"/>
      <c r="BZ338" s="797"/>
      <c r="CA338" s="797"/>
      <c r="CB338" s="797"/>
      <c r="CC338" s="797"/>
      <c r="CD338" s="797"/>
      <c r="CE338" s="797"/>
      <c r="CF338" s="797"/>
      <c r="CG338" s="797"/>
      <c r="CH338" s="797"/>
      <c r="CI338" s="797"/>
      <c r="CJ338" s="797"/>
      <c r="CK338" s="797"/>
      <c r="CL338" s="797"/>
      <c r="CM338" s="797"/>
      <c r="CN338" s="797"/>
      <c r="CO338" s="797"/>
      <c r="CP338" s="797"/>
      <c r="CQ338" s="797"/>
      <c r="CR338" s="797"/>
      <c r="CS338" s="797"/>
      <c r="CT338" s="797"/>
      <c r="CU338" s="797"/>
    </row>
    <row r="339" spans="1:99" x14ac:dyDescent="0.25">
      <c r="A339" s="3"/>
      <c r="B339" s="3"/>
      <c r="C339" s="3"/>
      <c r="D339" s="696"/>
      <c r="E339" s="696"/>
      <c r="F339" s="696"/>
      <c r="G339" s="696"/>
      <c r="H339" s="696"/>
      <c r="I339" s="696"/>
      <c r="J339" s="696"/>
      <c r="K339" s="166"/>
      <c r="L339" s="166"/>
      <c r="M339" s="166"/>
      <c r="N339" s="166"/>
      <c r="O339" s="166"/>
      <c r="P339" s="166"/>
      <c r="Q339" s="166"/>
      <c r="R339" s="166"/>
      <c r="S339" s="151"/>
      <c r="T339" s="163"/>
      <c r="U339" s="154"/>
      <c r="V339" s="154"/>
      <c r="W339" s="154"/>
      <c r="X339" s="154"/>
      <c r="Y339" s="161"/>
      <c r="Z339" s="161"/>
      <c r="AA339" s="191"/>
      <c r="AB339" s="161"/>
      <c r="AC339" s="161"/>
      <c r="AD339" s="161"/>
      <c r="AE339" s="161"/>
      <c r="AF339" s="161"/>
      <c r="AG339" s="161"/>
      <c r="AH339" s="152"/>
      <c r="AI339" s="161"/>
      <c r="AJ339" s="162"/>
      <c r="AK339" s="200"/>
      <c r="AL339" s="151"/>
      <c r="AM339" s="697"/>
      <c r="AN339" s="697"/>
      <c r="AO339" s="697"/>
      <c r="AP339" s="698"/>
      <c r="AQ339" s="698"/>
      <c r="AR339" s="698"/>
      <c r="AS339" s="698"/>
      <c r="AT339" s="698"/>
      <c r="AU339" s="698"/>
      <c r="AV339" s="698"/>
      <c r="AW339" s="517"/>
      <c r="AX339" s="517"/>
      <c r="AY339" s="517"/>
      <c r="AZ339" s="517"/>
      <c r="BA339" s="517"/>
      <c r="BB339" s="517"/>
      <c r="BC339" s="517"/>
      <c r="BD339" s="517"/>
      <c r="BE339" s="502"/>
      <c r="BF339" s="514"/>
      <c r="BG339" s="505"/>
      <c r="BH339" s="505"/>
      <c r="BI339" s="505"/>
      <c r="BJ339" s="505"/>
      <c r="BK339" s="512"/>
      <c r="BL339" s="512"/>
      <c r="BM339" s="542"/>
      <c r="BN339" s="512"/>
      <c r="BO339" s="512"/>
      <c r="BP339" s="512"/>
      <c r="BQ339" s="512"/>
      <c r="BR339" s="512"/>
      <c r="BS339" s="512"/>
      <c r="BT339" s="503"/>
      <c r="BU339" s="512"/>
      <c r="BV339" s="513"/>
      <c r="BW339" s="550"/>
      <c r="BX339" s="502"/>
      <c r="BY339" s="797"/>
      <c r="BZ339" s="797"/>
      <c r="CA339" s="797"/>
      <c r="CB339" s="797"/>
      <c r="CC339" s="797"/>
      <c r="CD339" s="797"/>
      <c r="CE339" s="797"/>
      <c r="CF339" s="797"/>
      <c r="CG339" s="797"/>
      <c r="CH339" s="797"/>
      <c r="CI339" s="797"/>
      <c r="CJ339" s="797"/>
      <c r="CK339" s="797"/>
      <c r="CL339" s="797"/>
      <c r="CM339" s="797"/>
      <c r="CN339" s="797"/>
      <c r="CO339" s="797"/>
      <c r="CP339" s="797"/>
      <c r="CQ339" s="797"/>
      <c r="CR339" s="797"/>
      <c r="CS339" s="797"/>
      <c r="CT339" s="797"/>
      <c r="CU339" s="797"/>
    </row>
    <row r="340" spans="1:99" x14ac:dyDescent="0.25">
      <c r="A340" s="152">
        <f>P355</f>
        <v>224.06242829083641</v>
      </c>
      <c r="B340" s="153">
        <f>(A340*10^0.125)</f>
        <v>298.79205026838827</v>
      </c>
      <c r="C340" s="154">
        <f>INT(B340)</f>
        <v>298</v>
      </c>
      <c r="D340" s="154">
        <f>C340*4</f>
        <v>1192</v>
      </c>
      <c r="E340" s="154">
        <f>D340/5</f>
        <v>238.4</v>
      </c>
      <c r="F340" s="149">
        <f>E340^2</f>
        <v>56834.560000000005</v>
      </c>
      <c r="G340" s="149">
        <f>(F340^0.125)</f>
        <v>3.9294029129748234</v>
      </c>
      <c r="H340" s="149">
        <f>G340/3</f>
        <v>1.3098009709916079</v>
      </c>
      <c r="I340" s="149">
        <f>(H340*100)</f>
        <v>130.98009709916079</v>
      </c>
      <c r="J340" s="149">
        <f>(F340/100)</f>
        <v>568.3456000000001</v>
      </c>
      <c r="K340" s="149">
        <f>(J340+I340)/2</f>
        <v>349.66284854958042</v>
      </c>
      <c r="L340" s="149">
        <f>(K340+I340)/2</f>
        <v>240.3214728243706</v>
      </c>
      <c r="M340" s="149">
        <f>(L340+A340)/2</f>
        <v>232.19195055760349</v>
      </c>
      <c r="N340" s="149">
        <f>M340*100^0.5</f>
        <v>2321.9195055760347</v>
      </c>
      <c r="O340" s="149">
        <f>INT(N340)/10</f>
        <v>232.1</v>
      </c>
      <c r="P340" s="149">
        <f>(O340)^2/10000</f>
        <v>5.387041</v>
      </c>
      <c r="Q340" s="149">
        <f>(P340+I340+M340)/3</f>
        <v>122.85302955225477</v>
      </c>
      <c r="R340" s="150">
        <f>Q345^0.5</f>
        <v>36.323259941237922</v>
      </c>
      <c r="S340" s="151"/>
      <c r="T340" s="152">
        <f>AI355</f>
        <v>224.31138654449288</v>
      </c>
      <c r="U340" s="153">
        <f>(T340*10^0.125)</f>
        <v>299.12404143535309</v>
      </c>
      <c r="V340" s="154">
        <f>INT(U340)</f>
        <v>299</v>
      </c>
      <c r="W340" s="154">
        <f>V340*4</f>
        <v>1196</v>
      </c>
      <c r="X340" s="154">
        <f>W340/5</f>
        <v>239.2</v>
      </c>
      <c r="Y340" s="149">
        <f>X340^2</f>
        <v>57216.639999999992</v>
      </c>
      <c r="Z340" s="149">
        <f>(Y340^0.125)</f>
        <v>3.9326952517764404</v>
      </c>
      <c r="AA340" s="149">
        <f>Z340/3</f>
        <v>1.3108984172588134</v>
      </c>
      <c r="AB340" s="149">
        <f>(AA340*100)</f>
        <v>131.08984172588134</v>
      </c>
      <c r="AC340" s="149">
        <f>(Y340/100)</f>
        <v>572.16639999999995</v>
      </c>
      <c r="AD340" s="149">
        <f>(AC340+AB340)/2</f>
        <v>351.62812086294065</v>
      </c>
      <c r="AE340" s="149">
        <f>(AD340+AB340)/2</f>
        <v>241.358981294411</v>
      </c>
      <c r="AF340" s="149">
        <f>(AE340+T340)/2</f>
        <v>232.83518391945194</v>
      </c>
      <c r="AG340" s="149">
        <f>AF340*100^0.5</f>
        <v>2328.3518391945195</v>
      </c>
      <c r="AH340" s="149">
        <f>INT(AG340)/10</f>
        <v>232.8</v>
      </c>
      <c r="AI340" s="149">
        <f>(AH340)^2/10000</f>
        <v>5.4195840000000004</v>
      </c>
      <c r="AJ340" s="149">
        <f>(AI340+AB340+AF340)/3</f>
        <v>123.11486988177775</v>
      </c>
      <c r="AK340" s="150">
        <f>AJ345^0.5</f>
        <v>36.323259941237922</v>
      </c>
      <c r="AL340" s="151"/>
      <c r="AM340" s="503">
        <f>BB355</f>
        <v>224.79386364251761</v>
      </c>
      <c r="AN340" s="504">
        <f>(AM340*10^0.125)</f>
        <v>299.76743498609704</v>
      </c>
      <c r="AO340" s="505">
        <f>INT(AN340)</f>
        <v>299</v>
      </c>
      <c r="AP340" s="505">
        <f>AO340*4</f>
        <v>1196</v>
      </c>
      <c r="AQ340" s="505">
        <f>AP340/5</f>
        <v>239.2</v>
      </c>
      <c r="AR340" s="500">
        <f>AQ340^2</f>
        <v>57216.639999999992</v>
      </c>
      <c r="AS340" s="500">
        <f>(AR340^0.125)</f>
        <v>3.9326952517764404</v>
      </c>
      <c r="AT340" s="500">
        <f>AS340/3</f>
        <v>1.3108984172588134</v>
      </c>
      <c r="AU340" s="500">
        <f>(AT340*100)</f>
        <v>131.08984172588134</v>
      </c>
      <c r="AV340" s="500">
        <f>(AR340/100)</f>
        <v>572.16639999999995</v>
      </c>
      <c r="AW340" s="500">
        <f>(AV340+AU340)/2</f>
        <v>351.62812086294065</v>
      </c>
      <c r="AX340" s="500">
        <f>(AW340+AU340)/2</f>
        <v>241.358981294411</v>
      </c>
      <c r="AY340" s="500">
        <f>(AX340+AM340)/2</f>
        <v>233.0764224684643</v>
      </c>
      <c r="AZ340" s="500">
        <f>AY340*100^0.5</f>
        <v>2330.7642246846431</v>
      </c>
      <c r="BA340" s="500">
        <f>INT(AZ340)/10</f>
        <v>233</v>
      </c>
      <c r="BB340" s="500">
        <f>(BA340)^2/10000</f>
        <v>5.4288999999999996</v>
      </c>
      <c r="BC340" s="500">
        <f>(BB340+AU340+AY340)/3</f>
        <v>123.19838806478189</v>
      </c>
      <c r="BD340" s="501">
        <f>BC345^0.5</f>
        <v>32.451591404174579</v>
      </c>
      <c r="BE340" s="502"/>
      <c r="BF340" s="503">
        <f>BU355</f>
        <v>222.92058144549662</v>
      </c>
      <c r="BG340" s="504">
        <f>(BF340*10^0.125)</f>
        <v>297.26937302787957</v>
      </c>
      <c r="BH340" s="505">
        <f>INT(BG340)</f>
        <v>297</v>
      </c>
      <c r="BI340" s="505">
        <f>BH340*4</f>
        <v>1188</v>
      </c>
      <c r="BJ340" s="505">
        <f>BI340/5</f>
        <v>237.6</v>
      </c>
      <c r="BK340" s="500">
        <f>BJ340^2</f>
        <v>56453.759999999995</v>
      </c>
      <c r="BL340" s="500">
        <f>(BK340^0.125)</f>
        <v>3.9261022776283041</v>
      </c>
      <c r="BM340" s="500">
        <f>BL340/3</f>
        <v>1.3087007592094346</v>
      </c>
      <c r="BN340" s="500">
        <f>(BM340*100)</f>
        <v>130.87007592094346</v>
      </c>
      <c r="BO340" s="500">
        <f>(BK340/100)</f>
        <v>564.5376</v>
      </c>
      <c r="BP340" s="500">
        <f>(BO340+BN340)/2</f>
        <v>347.70383796047173</v>
      </c>
      <c r="BQ340" s="500">
        <f>(BP340+BN340)/2</f>
        <v>239.2869569407076</v>
      </c>
      <c r="BR340" s="500">
        <f>(BQ340+BF340)/2</f>
        <v>231.1037691931021</v>
      </c>
      <c r="BS340" s="500">
        <f>BR340*100^0.5</f>
        <v>2311.0376919310211</v>
      </c>
      <c r="BT340" s="500">
        <f>INT(BS340)/10</f>
        <v>231.1</v>
      </c>
      <c r="BU340" s="500">
        <f>(BT340)^2/10000</f>
        <v>5.3407210000000003</v>
      </c>
      <c r="BV340" s="500">
        <f>(BU340+BN340+BR340)/3</f>
        <v>122.43818870468185</v>
      </c>
      <c r="BW340" s="501">
        <f>BV345^0.5</f>
        <v>32.451591404174579</v>
      </c>
      <c r="BX340" s="502"/>
      <c r="BY340" s="797"/>
      <c r="BZ340" s="797"/>
      <c r="CA340" s="797"/>
      <c r="CB340" s="797"/>
      <c r="CC340" s="797"/>
      <c r="CD340" s="797"/>
      <c r="CE340" s="797"/>
      <c r="CF340" s="797"/>
      <c r="CG340" s="797"/>
      <c r="CH340" s="797"/>
      <c r="CI340" s="797"/>
      <c r="CJ340" s="797"/>
      <c r="CK340" s="797"/>
      <c r="CL340" s="797"/>
      <c r="CM340" s="797"/>
      <c r="CN340" s="797"/>
      <c r="CO340" s="797"/>
      <c r="CP340" s="797"/>
      <c r="CQ340" s="797"/>
      <c r="CR340" s="797"/>
      <c r="CS340" s="797"/>
      <c r="CT340" s="797"/>
      <c r="CU340" s="797"/>
    </row>
    <row r="341" spans="1:99" x14ac:dyDescent="0.25">
      <c r="A341" s="163">
        <f>(O342-O341)</f>
        <v>3.7373345689795485</v>
      </c>
      <c r="B341" s="153">
        <f>(B342+A343)/2</f>
        <v>217.21765387011908</v>
      </c>
      <c r="C341" s="164">
        <f>(D343*C343*B343*C342*D342*A341)</f>
        <v>21415920944659.141</v>
      </c>
      <c r="D341" s="154">
        <f>(C342*C341*A341)</f>
        <v>21962084583.374088</v>
      </c>
      <c r="E341" s="163">
        <f>INT(A341+1)</f>
        <v>4</v>
      </c>
      <c r="F341" s="165">
        <f>(Q353*-1)</f>
        <v>-49.479220486189519</v>
      </c>
      <c r="G341" s="161"/>
      <c r="H341" s="152">
        <f>IF(F341&gt;0,-1,1)</f>
        <v>1</v>
      </c>
      <c r="I341" s="161"/>
      <c r="J341" s="161"/>
      <c r="K341" s="161"/>
      <c r="L341" s="161"/>
      <c r="M341" s="161"/>
      <c r="N341" s="161">
        <f>(M340+O340)/2</f>
        <v>232.14597527880176</v>
      </c>
      <c r="O341" s="161">
        <f>N341-A340</f>
        <v>8.0835469879653488</v>
      </c>
      <c r="P341" s="161">
        <f>(Q345+R343)/2</f>
        <v>1319.4787443793698</v>
      </c>
      <c r="Q341" s="162">
        <f>(Q344*A341*100)</f>
        <v>1327.5319703427162</v>
      </c>
      <c r="R341" s="150">
        <f>INT(R340)+0.326</f>
        <v>36.326000000000001</v>
      </c>
      <c r="S341" s="151"/>
      <c r="T341" s="163">
        <f>(AH342-AH341)</f>
        <v>2.9999427279949487</v>
      </c>
      <c r="U341" s="153">
        <f>(U342+T343)/2</f>
        <v>217.80832679088013</v>
      </c>
      <c r="V341" s="164">
        <f>(W343*V343*U343*V342*W342*T341)</f>
        <v>1978348713338.5146</v>
      </c>
      <c r="W341" s="154">
        <f>(V342*V341*T341)</f>
        <v>2713229282.2952132</v>
      </c>
      <c r="X341" s="163">
        <f>INT(T341+1)</f>
        <v>3</v>
      </c>
      <c r="Y341" s="165">
        <f>(AJ353*-1)</f>
        <v>-37.872315896392166</v>
      </c>
      <c r="Z341" s="161"/>
      <c r="AA341" s="152">
        <f>IF(Y341&gt;0,-1,1)</f>
        <v>1</v>
      </c>
      <c r="AB341" s="161"/>
      <c r="AC341" s="161"/>
      <c r="AD341" s="161"/>
      <c r="AE341" s="161"/>
      <c r="AF341" s="161"/>
      <c r="AG341" s="161">
        <f>(AF340+AH340)/2</f>
        <v>232.81759195972597</v>
      </c>
      <c r="AH341" s="161">
        <f>AG341-T340</f>
        <v>8.5062054152330973</v>
      </c>
      <c r="AI341" s="161">
        <f>(AJ345+AK343)/2</f>
        <v>1319.4787443793698</v>
      </c>
      <c r="AJ341" s="162">
        <f>(AJ344*T341*100)</f>
        <v>755.75206758083823</v>
      </c>
      <c r="AK341" s="150">
        <f>INT(AK340)+0.326</f>
        <v>36.326000000000001</v>
      </c>
      <c r="AL341" s="151"/>
      <c r="AM341" s="514">
        <f>(BA342-BA341)</f>
        <v>3.5694971936586057</v>
      </c>
      <c r="AN341" s="504">
        <f>(AN342+AM343)/2</f>
        <v>217.99456695141637</v>
      </c>
      <c r="AO341" s="515">
        <f>(AP343*AO343*AN343*AO342*AP342*AM341)</f>
        <v>13367136224495.334</v>
      </c>
      <c r="AP341" s="505">
        <f>(AO342*AO341*AM341)</f>
        <v>14436074999.123283</v>
      </c>
      <c r="AQ341" s="514">
        <f>INT(AM341+1)</f>
        <v>4</v>
      </c>
      <c r="AR341" s="516">
        <f>(BC353*-1)</f>
        <v>-205.49241593552171</v>
      </c>
      <c r="AS341" s="512"/>
      <c r="AT341" s="503">
        <f>IF(AR341&gt;0,-1,1)</f>
        <v>1</v>
      </c>
      <c r="AU341" s="512"/>
      <c r="AV341" s="512"/>
      <c r="AW341" s="512"/>
      <c r="AX341" s="512"/>
      <c r="AY341" s="512"/>
      <c r="AZ341" s="512">
        <f>(AY340+BA340)/2</f>
        <v>233.03821123423216</v>
      </c>
      <c r="BA341" s="512">
        <f>AZ341-AM340</f>
        <v>8.2443475917145577</v>
      </c>
      <c r="BB341" s="512">
        <f>(BC345+BD343)/2</f>
        <v>1049.0380303317488</v>
      </c>
      <c r="BC341" s="513">
        <f>(BC344*AM341*100)</f>
        <v>685.94757576530651</v>
      </c>
      <c r="BD341" s="501">
        <f>INT(BD340)+0.326</f>
        <v>32.326000000000001</v>
      </c>
      <c r="BE341" s="502"/>
      <c r="BF341" s="514">
        <f>(BT342-BT341)</f>
        <v>3.354624866793074</v>
      </c>
      <c r="BG341" s="504">
        <f>(BG342+BF343)/2</f>
        <v>216.31396121987461</v>
      </c>
      <c r="BH341" s="515">
        <f>(BI343*BH343*BG343*BH342*BI342*BF341)</f>
        <v>6226977865755.8535</v>
      </c>
      <c r="BI341" s="505">
        <f>(BH342*BH341*BF341)</f>
        <v>7524879220.6858606</v>
      </c>
      <c r="BJ341" s="514">
        <f>INT(BF341+1)</f>
        <v>4</v>
      </c>
      <c r="BK341" s="516">
        <f>(BV353*-1)</f>
        <v>-79.768563558549872</v>
      </c>
      <c r="BL341" s="512"/>
      <c r="BM341" s="503">
        <f>IF(BK341&gt;0,-1,1)</f>
        <v>1</v>
      </c>
      <c r="BN341" s="512"/>
      <c r="BO341" s="512"/>
      <c r="BP341" s="512"/>
      <c r="BQ341" s="512"/>
      <c r="BR341" s="512"/>
      <c r="BS341" s="512">
        <f>(BR340+BT340)/2</f>
        <v>231.10188459655103</v>
      </c>
      <c r="BT341" s="512">
        <f>BS341-BF340</f>
        <v>8.1813031510544079</v>
      </c>
      <c r="BU341" s="512">
        <f>(BV345+BW343)/2</f>
        <v>1049.0380303317488</v>
      </c>
      <c r="BV341" s="513">
        <f>(BV344*BF341*100)</f>
        <v>597.29930184539489</v>
      </c>
      <c r="BW341" s="501">
        <f>INT(BW340)+0.326</f>
        <v>32.326000000000001</v>
      </c>
      <c r="BX341" s="502"/>
      <c r="BY341" s="797"/>
      <c r="BZ341" s="797"/>
      <c r="CA341" s="797"/>
      <c r="CB341" s="797"/>
      <c r="CC341" s="797"/>
      <c r="CD341" s="797"/>
      <c r="CE341" s="797"/>
      <c r="CF341" s="797"/>
      <c r="CG341" s="797"/>
      <c r="CH341" s="797"/>
      <c r="CI341" s="797"/>
      <c r="CJ341" s="797"/>
      <c r="CK341" s="797"/>
      <c r="CL341" s="797"/>
      <c r="CM341" s="797"/>
      <c r="CN341" s="797"/>
      <c r="CO341" s="797"/>
      <c r="CP341" s="797"/>
      <c r="CQ341" s="797"/>
      <c r="CR341" s="797"/>
      <c r="CS341" s="797"/>
      <c r="CT341" s="797"/>
      <c r="CU341" s="797"/>
    </row>
    <row r="342" spans="1:99" x14ac:dyDescent="0.25">
      <c r="A342" s="163">
        <f>N341</f>
        <v>232.14597527880176</v>
      </c>
      <c r="B342" s="172">
        <f>(N341+N343)/2</f>
        <v>222.19376100634662</v>
      </c>
      <c r="C342" s="154">
        <f>(A341/D343)</f>
        <v>2.7439413657272482E-4</v>
      </c>
      <c r="D342" s="154">
        <f>(A341+B343+C343+D343)</f>
        <v>30888.760038809563</v>
      </c>
      <c r="E342" s="173">
        <f>(E341*C343)</f>
        <v>14577.57097130918</v>
      </c>
      <c r="F342" s="174"/>
      <c r="G342" s="161"/>
      <c r="H342" s="161"/>
      <c r="I342" s="161"/>
      <c r="J342" s="161"/>
      <c r="K342" s="161"/>
      <c r="L342" s="161"/>
      <c r="M342" s="161">
        <f>(N341+N343)/2</f>
        <v>222.19376100634662</v>
      </c>
      <c r="N342" s="161">
        <f>(I340+N341)/2</f>
        <v>181.56303618898127</v>
      </c>
      <c r="O342" s="161">
        <f>A340-N343</f>
        <v>11.820881556944897</v>
      </c>
      <c r="P342" s="161"/>
      <c r="Q342" s="149"/>
      <c r="R342" s="171"/>
      <c r="S342" s="151"/>
      <c r="T342" s="163">
        <f>AG341</f>
        <v>232.81759195972597</v>
      </c>
      <c r="U342" s="172">
        <f>(AG341+AG343)/2</f>
        <v>222.8114151804954</v>
      </c>
      <c r="V342" s="154">
        <f>(T341/W343)</f>
        <v>4.5716259261252502E-4</v>
      </c>
      <c r="W342" s="154">
        <f>(T341+U343+V343+W343)</f>
        <v>15314.588355918124</v>
      </c>
      <c r="X342" s="173">
        <f>(X341*V343)</f>
        <v>6562.2167003123432</v>
      </c>
      <c r="Y342" s="174"/>
      <c r="Z342" s="161"/>
      <c r="AA342" s="161"/>
      <c r="AB342" s="161"/>
      <c r="AC342" s="161"/>
      <c r="AD342" s="161"/>
      <c r="AE342" s="161"/>
      <c r="AF342" s="161">
        <f>(AG341+AG343)/2</f>
        <v>222.8114151804954</v>
      </c>
      <c r="AG342" s="161">
        <f>(AB340+AG341)/2</f>
        <v>181.95371684280366</v>
      </c>
      <c r="AH342" s="161">
        <f>T340-AG343</f>
        <v>11.506148143228046</v>
      </c>
      <c r="AI342" s="161"/>
      <c r="AJ342" s="149"/>
      <c r="AK342" s="171"/>
      <c r="AL342" s="151"/>
      <c r="AM342" s="514">
        <f>AZ341</f>
        <v>233.03821123423216</v>
      </c>
      <c r="AN342" s="522">
        <f>(AZ341+AZ343)/2</f>
        <v>223.0091150456883</v>
      </c>
      <c r="AO342" s="505">
        <f>(AM341/AP343)</f>
        <v>3.0255456556330676E-4</v>
      </c>
      <c r="AP342" s="505">
        <f>(AM341+AN343+AO343+AP343)</f>
        <v>26904.483625406352</v>
      </c>
      <c r="AQ342" s="523">
        <f>(AQ341*AO343)</f>
        <v>13220.755709148396</v>
      </c>
      <c r="AR342" s="524"/>
      <c r="AS342" s="512"/>
      <c r="AT342" s="512"/>
      <c r="AU342" s="512"/>
      <c r="AV342" s="512"/>
      <c r="AW342" s="512"/>
      <c r="AX342" s="512"/>
      <c r="AY342" s="512">
        <f>(AZ341+AZ343)/2</f>
        <v>223.0091150456883</v>
      </c>
      <c r="AZ342" s="512">
        <f>(AU340+AZ341)/2</f>
        <v>182.06402648005675</v>
      </c>
      <c r="BA342" s="512">
        <f>AM340-AZ343</f>
        <v>11.813844785373163</v>
      </c>
      <c r="BB342" s="512"/>
      <c r="BC342" s="500"/>
      <c r="BD342" s="502"/>
      <c r="BE342" s="502"/>
      <c r="BF342" s="514">
        <f>BS341</f>
        <v>231.10188459655103</v>
      </c>
      <c r="BG342" s="522">
        <f>(BS341+BS343)/2</f>
        <v>221.24326901210009</v>
      </c>
      <c r="BH342" s="505">
        <f>(BF341/BI343)</f>
        <v>3.6022864929307252E-4</v>
      </c>
      <c r="BI342" s="505">
        <f>(BF341+BG343+BH343+BI343)</f>
        <v>21404.344659155002</v>
      </c>
      <c r="BJ342" s="523">
        <f>(BJ341*BH343)</f>
        <v>11104.058513529571</v>
      </c>
      <c r="BK342" s="524"/>
      <c r="BL342" s="512"/>
      <c r="BM342" s="512"/>
      <c r="BN342" s="512"/>
      <c r="BO342" s="512"/>
      <c r="BP342" s="512"/>
      <c r="BQ342" s="512"/>
      <c r="BR342" s="512">
        <f>(BS341+BS343)/2</f>
        <v>221.24326901210009</v>
      </c>
      <c r="BS342" s="512">
        <f>(BN340+BS341)/2</f>
        <v>180.98598025874725</v>
      </c>
      <c r="BT342" s="512">
        <f>BF340-BS343</f>
        <v>11.535928017847482</v>
      </c>
      <c r="BU342" s="512"/>
      <c r="BV342" s="500"/>
      <c r="BW342" s="502"/>
      <c r="BX342" s="502"/>
      <c r="BY342" s="797"/>
      <c r="BZ342" s="797"/>
      <c r="CA342" s="797"/>
      <c r="CB342" s="797"/>
      <c r="CC342" s="797"/>
      <c r="CD342" s="797"/>
      <c r="CE342" s="797"/>
      <c r="CF342" s="797"/>
      <c r="CG342" s="797"/>
      <c r="CH342" s="797"/>
      <c r="CI342" s="797"/>
      <c r="CJ342" s="797"/>
      <c r="CK342" s="797"/>
      <c r="CL342" s="797"/>
      <c r="CM342" s="797"/>
      <c r="CN342" s="797"/>
      <c r="CO342" s="797"/>
      <c r="CP342" s="797"/>
      <c r="CQ342" s="797"/>
      <c r="CR342" s="797"/>
      <c r="CS342" s="797"/>
      <c r="CT342" s="797"/>
      <c r="CU342" s="797"/>
    </row>
    <row r="343" spans="1:99" x14ac:dyDescent="0.25">
      <c r="A343" s="277">
        <f>N343</f>
        <v>212.24154673389151</v>
      </c>
      <c r="B343" s="153">
        <f>G349</f>
        <v>13620.314980706644</v>
      </c>
      <c r="C343" s="154">
        <f>(B343/A341)</f>
        <v>3644.392742827295</v>
      </c>
      <c r="D343" s="154">
        <f>(A341*C343)</f>
        <v>13620.314980706644</v>
      </c>
      <c r="E343" s="163">
        <f>INT(A341)+1</f>
        <v>4</v>
      </c>
      <c r="F343" s="174">
        <f>(Q353)</f>
        <v>49.479220486189519</v>
      </c>
      <c r="G343" s="161"/>
      <c r="H343" s="152">
        <f>IF(F341&lt;0,1,-1)</f>
        <v>1</v>
      </c>
      <c r="I343" s="161"/>
      <c r="J343" s="161"/>
      <c r="K343" s="161"/>
      <c r="L343" s="161"/>
      <c r="M343" s="161">
        <f>(N342+P340*2)</f>
        <v>192.33711818898126</v>
      </c>
      <c r="N343" s="161">
        <f>(N341+M343)/2</f>
        <v>212.24154673389151</v>
      </c>
      <c r="O343" s="161">
        <f>(N342+J340)/2</f>
        <v>374.9543180944907</v>
      </c>
      <c r="P343" s="152">
        <f>IF(Q353&gt;1,-1,1)</f>
        <v>-1</v>
      </c>
      <c r="Q343" s="162">
        <f>F351-F348</f>
        <v>-1.315598076268806</v>
      </c>
      <c r="R343" s="150">
        <f>R341^2</f>
        <v>1319.578276</v>
      </c>
      <c r="S343" s="151"/>
      <c r="T343" s="277">
        <f>AG343</f>
        <v>212.80523840126483</v>
      </c>
      <c r="U343" s="153">
        <f>Z349</f>
        <v>6562.0914232096738</v>
      </c>
      <c r="V343" s="154">
        <f>(U343/T341)</f>
        <v>2187.4055667707812</v>
      </c>
      <c r="W343" s="154">
        <f>(T341*V343)</f>
        <v>6562.0914232096738</v>
      </c>
      <c r="X343" s="163">
        <f>INT(T341)+1</f>
        <v>3</v>
      </c>
      <c r="Y343" s="174">
        <f>(AJ353)</f>
        <v>37.872315896392166</v>
      </c>
      <c r="Z343" s="161"/>
      <c r="AA343" s="152">
        <f>IF(Y341&lt;0,1,-1)</f>
        <v>1</v>
      </c>
      <c r="AB343" s="161"/>
      <c r="AC343" s="161"/>
      <c r="AD343" s="161"/>
      <c r="AE343" s="161"/>
      <c r="AF343" s="161">
        <f>(AG342+AI340*2)</f>
        <v>192.79288484280366</v>
      </c>
      <c r="AG343" s="161">
        <f>(AG341+AF343)/2</f>
        <v>212.80523840126483</v>
      </c>
      <c r="AH343" s="161">
        <f>(AG342+AC340)/2</f>
        <v>377.06005842140178</v>
      </c>
      <c r="AI343" s="152">
        <f>IF(AJ353&gt;1,-1,1)</f>
        <v>-1</v>
      </c>
      <c r="AJ343" s="162">
        <f>Y351-Y348</f>
        <v>-1.3890105836506708</v>
      </c>
      <c r="AK343" s="150">
        <f>AK341^2</f>
        <v>1319.578276</v>
      </c>
      <c r="AL343" s="151"/>
      <c r="AM343" s="616">
        <f>AZ343</f>
        <v>212.98001885714444</v>
      </c>
      <c r="AN343" s="504">
        <f>AS349</f>
        <v>11797.862600462797</v>
      </c>
      <c r="AO343" s="505">
        <f>(AN343/AM341)</f>
        <v>3305.188927287099</v>
      </c>
      <c r="AP343" s="505">
        <f>(AM341*AO343)</f>
        <v>11797.862600462797</v>
      </c>
      <c r="AQ343" s="514">
        <f>INT(AM341)+1</f>
        <v>4</v>
      </c>
      <c r="AR343" s="524">
        <f>(BC353)</f>
        <v>205.49241593552171</v>
      </c>
      <c r="AS343" s="512"/>
      <c r="AT343" s="503">
        <f>IF(AR341&lt;0,1,-1)</f>
        <v>1</v>
      </c>
      <c r="AU343" s="512"/>
      <c r="AV343" s="512"/>
      <c r="AW343" s="512"/>
      <c r="AX343" s="512"/>
      <c r="AY343" s="512">
        <f>(AZ342+BB340*2)</f>
        <v>192.92182648005675</v>
      </c>
      <c r="AZ343" s="512">
        <f>(AZ341+AY343)/2</f>
        <v>212.98001885714444</v>
      </c>
      <c r="BA343" s="512">
        <f>(AZ342+AV340)/2</f>
        <v>377.11521324002837</v>
      </c>
      <c r="BB343" s="503">
        <f>IF(BC353&gt;1,-1,1)</f>
        <v>-1</v>
      </c>
      <c r="BC343" s="513">
        <f>AR351-AR348</f>
        <v>-2.0550872877490303</v>
      </c>
      <c r="BD343" s="501">
        <f>BD341^2</f>
        <v>1044.970276</v>
      </c>
      <c r="BE343" s="502"/>
      <c r="BF343" s="616">
        <f>BS343</f>
        <v>211.38465342764914</v>
      </c>
      <c r="BG343" s="504">
        <f>BL349</f>
        <v>9312.4877029529089</v>
      </c>
      <c r="BH343" s="505">
        <f>(BG343/BF341)</f>
        <v>2776.0146283823929</v>
      </c>
      <c r="BI343" s="505">
        <f>(BF341*BH343)</f>
        <v>9312.4877029529089</v>
      </c>
      <c r="BJ343" s="514">
        <f>INT(BF341)+1</f>
        <v>4</v>
      </c>
      <c r="BK343" s="524">
        <f>(BV353)</f>
        <v>79.768563558549872</v>
      </c>
      <c r="BL343" s="512"/>
      <c r="BM343" s="503">
        <f>IF(BK341&lt;0,1,-1)</f>
        <v>1</v>
      </c>
      <c r="BN343" s="512"/>
      <c r="BO343" s="512"/>
      <c r="BP343" s="512"/>
      <c r="BQ343" s="512"/>
      <c r="BR343" s="512">
        <f>(BS342+BU340*2)</f>
        <v>191.66742225874725</v>
      </c>
      <c r="BS343" s="512">
        <f>(BS341+BR343)/2</f>
        <v>211.38465342764914</v>
      </c>
      <c r="BT343" s="512">
        <f>(BS342+BO340)/2</f>
        <v>372.76179012937359</v>
      </c>
      <c r="BU343" s="503">
        <f>IF(BV353&gt;1,-1,1)</f>
        <v>-1</v>
      </c>
      <c r="BV343" s="513">
        <f>BK351-BK348</f>
        <v>-1.9277879711260271</v>
      </c>
      <c r="BW343" s="501">
        <f>BW341^2</f>
        <v>1044.970276</v>
      </c>
      <c r="BX343" s="502"/>
      <c r="BY343" s="797"/>
      <c r="BZ343" s="797"/>
      <c r="CA343" s="797"/>
      <c r="CB343" s="797"/>
      <c r="CC343" s="797"/>
      <c r="CD343" s="797"/>
      <c r="CE343" s="797"/>
      <c r="CF343" s="797"/>
      <c r="CG343" s="797"/>
      <c r="CH343" s="797"/>
      <c r="CI343" s="797"/>
      <c r="CJ343" s="797"/>
      <c r="CK343" s="797"/>
      <c r="CL343" s="797"/>
      <c r="CM343" s="797"/>
      <c r="CN343" s="797"/>
      <c r="CO343" s="797"/>
      <c r="CP343" s="797"/>
      <c r="CQ343" s="797"/>
      <c r="CR343" s="797"/>
      <c r="CS343" s="797"/>
      <c r="CT343" s="797"/>
      <c r="CU343" s="797"/>
    </row>
    <row r="344" spans="1:99" ht="15.75" thickBot="1" x14ac:dyDescent="0.3">
      <c r="A344" s="277">
        <f>(O342+O341)+A340</f>
        <v>243.96685683574665</v>
      </c>
      <c r="B344" s="180">
        <f>(A342+B342)/2</f>
        <v>227.16986814257419</v>
      </c>
      <c r="C344" s="163">
        <f>(C342)</f>
        <v>2.7439413657272482E-4</v>
      </c>
      <c r="D344" s="154">
        <f>(D341*D342*D343*B343*A341)</f>
        <v>4.703382672174567E+23</v>
      </c>
      <c r="E344" s="154">
        <f>(C344*A341)</f>
        <v>1.0255026921385398E-3</v>
      </c>
      <c r="F344" s="161">
        <f>(F346/O346)*O347-F347</f>
        <v>59.564570909172602</v>
      </c>
      <c r="G344" s="161"/>
      <c r="H344" s="161"/>
      <c r="I344" s="161"/>
      <c r="J344" s="161"/>
      <c r="K344" s="161"/>
      <c r="L344" s="161"/>
      <c r="M344" s="161"/>
      <c r="N344" s="162">
        <f>(F344+Q353)*F347</f>
        <v>-5395.4017971011781</v>
      </c>
      <c r="O344" s="152">
        <f>H343</f>
        <v>1</v>
      </c>
      <c r="P344" s="152">
        <f>IF(Q353&lt;100,1,-1)</f>
        <v>1</v>
      </c>
      <c r="Q344" s="162">
        <f>Q343+F351</f>
        <v>3.5520822282314128</v>
      </c>
      <c r="R344" s="171"/>
      <c r="S344" s="151"/>
      <c r="T344" s="277">
        <f>(AH342+AH341)+T340</f>
        <v>244.32374010295402</v>
      </c>
      <c r="U344" s="180">
        <f>(T342+U342)/2</f>
        <v>227.81450357011067</v>
      </c>
      <c r="V344" s="163">
        <f>(V342)</f>
        <v>4.5716259261252502E-4</v>
      </c>
      <c r="W344" s="154">
        <f>(W341*W342*W343*U343*T341)</f>
        <v>5.3677136596211178E+21</v>
      </c>
      <c r="X344" s="154">
        <f>(V344*T341)</f>
        <v>1.3714615952192617E-3</v>
      </c>
      <c r="Y344" s="161">
        <f>(Y346/AH346)*AH347-Y347</f>
        <v>41.220720954357368</v>
      </c>
      <c r="Z344" s="161"/>
      <c r="AA344" s="161"/>
      <c r="AB344" s="161"/>
      <c r="AC344" s="161"/>
      <c r="AD344" s="161"/>
      <c r="AE344" s="161"/>
      <c r="AF344" s="161"/>
      <c r="AG344" s="162">
        <f>(Y344+AJ353)*Y347</f>
        <v>-2995.4364768165733</v>
      </c>
      <c r="AH344" s="152">
        <f>AA343</f>
        <v>1</v>
      </c>
      <c r="AI344" s="152">
        <f>IF(AJ353&lt;100,1,-1)</f>
        <v>1</v>
      </c>
      <c r="AJ344" s="162">
        <f>AJ343+Y351</f>
        <v>2.5192216522278583</v>
      </c>
      <c r="AK344" s="171"/>
      <c r="AL344" s="151"/>
      <c r="AM344" s="616">
        <f>(BA342+BA341)+AM340</f>
        <v>244.85205601960533</v>
      </c>
      <c r="AN344" s="531">
        <f>(AM342+AN342)/2</f>
        <v>228.02366313996023</v>
      </c>
      <c r="AO344" s="514">
        <f>(AO342)</f>
        <v>3.0255456556330676E-4</v>
      </c>
      <c r="AP344" s="505">
        <f>(AP341*AP342*AP343*AN343*AM341)</f>
        <v>1.929689810603122E+23</v>
      </c>
      <c r="AQ344" s="505">
        <f>(AO344*AM341)</f>
        <v>1.0799676727068221E-3</v>
      </c>
      <c r="AR344" s="512">
        <f>(AR346/BA346)*BA347-AR347</f>
        <v>212.72303907736642</v>
      </c>
      <c r="AS344" s="512"/>
      <c r="AT344" s="512"/>
      <c r="AU344" s="512"/>
      <c r="AV344" s="512"/>
      <c r="AW344" s="512"/>
      <c r="AX344" s="512"/>
      <c r="AY344" s="512"/>
      <c r="AZ344" s="513">
        <f>(AR344+BC353)*AR347</f>
        <v>-85940.104232171871</v>
      </c>
      <c r="BA344" s="503">
        <f>AT343</f>
        <v>1</v>
      </c>
      <c r="BB344" s="503">
        <f>IF(BC353&lt;100,1,-1)</f>
        <v>-1</v>
      </c>
      <c r="BC344" s="513">
        <f>BC343+AR351</f>
        <v>1.9216924360773486</v>
      </c>
      <c r="BD344" s="502"/>
      <c r="BE344" s="502"/>
      <c r="BF344" s="616">
        <f>(BT342+BT341)+BF340</f>
        <v>242.63781261439851</v>
      </c>
      <c r="BG344" s="531">
        <f>(BF342+BG342)/2</f>
        <v>226.17257680432556</v>
      </c>
      <c r="BH344" s="514">
        <f>(BH342)</f>
        <v>3.6022864929307252E-4</v>
      </c>
      <c r="BI344" s="505">
        <f>(BI341*BI342*BI343*BG343*BF341)</f>
        <v>4.6857256349697009E+22</v>
      </c>
      <c r="BJ344" s="505">
        <f>(BH344*BF341)</f>
        <v>1.2084319846498224E-3</v>
      </c>
      <c r="BK344" s="512">
        <f>(BK346/BT346)*BT347-BK347</f>
        <v>83.19031630402587</v>
      </c>
      <c r="BL344" s="512"/>
      <c r="BM344" s="512"/>
      <c r="BN344" s="512"/>
      <c r="BO344" s="512"/>
      <c r="BP344" s="512"/>
      <c r="BQ344" s="512"/>
      <c r="BR344" s="512"/>
      <c r="BS344" s="513">
        <f>(BK344+BV353)*BK347</f>
        <v>-12998.995765747966</v>
      </c>
      <c r="BT344" s="503">
        <f>BM343</f>
        <v>1</v>
      </c>
      <c r="BU344" s="503">
        <f>IF(BV353&lt;100,1,-1)</f>
        <v>1</v>
      </c>
      <c r="BV344" s="513">
        <f>BV343+BK351</f>
        <v>1.7805248740566215</v>
      </c>
      <c r="BW344" s="502"/>
      <c r="BX344" s="502"/>
      <c r="BY344" s="797"/>
      <c r="BZ344" s="797"/>
      <c r="CA344" s="797"/>
      <c r="CB344" s="797"/>
      <c r="CC344" s="797"/>
      <c r="CD344" s="797"/>
      <c r="CE344" s="797"/>
      <c r="CF344" s="797"/>
      <c r="CG344" s="797"/>
      <c r="CH344" s="797"/>
      <c r="CI344" s="797"/>
      <c r="CJ344" s="797"/>
      <c r="CK344" s="797"/>
      <c r="CL344" s="797"/>
      <c r="CM344" s="797"/>
      <c r="CN344" s="797"/>
      <c r="CO344" s="797"/>
      <c r="CP344" s="797"/>
      <c r="CQ344" s="797"/>
      <c r="CR344" s="797"/>
      <c r="CS344" s="797"/>
      <c r="CT344" s="797"/>
      <c r="CU344" s="797"/>
    </row>
    <row r="345" spans="1:99" ht="15.75" thickBot="1" x14ac:dyDescent="0.3">
      <c r="A345" s="277">
        <f>(O342*-1-O341)+A340</f>
        <v>204.15799974592616</v>
      </c>
      <c r="B345" s="154">
        <f>(B342+B341)/2</f>
        <v>219.70570743823285</v>
      </c>
      <c r="C345" s="154">
        <f>(B341+A343)/2</f>
        <v>214.72960030200528</v>
      </c>
      <c r="D345" s="154">
        <f>D341</f>
        <v>21962084583.374088</v>
      </c>
      <c r="E345" s="154">
        <f>(B342+A340)/2</f>
        <v>223.12809464859151</v>
      </c>
      <c r="F345" s="377">
        <f>(F347/O347)</f>
        <v>-9.3629906798530573</v>
      </c>
      <c r="G345" s="377"/>
      <c r="H345" s="378">
        <v>0.51</v>
      </c>
      <c r="I345" s="379"/>
      <c r="J345" s="379"/>
      <c r="K345" s="379"/>
      <c r="L345" s="379"/>
      <c r="M345" s="379"/>
      <c r="N345" s="380">
        <v>0.9</v>
      </c>
      <c r="O345" s="381">
        <f>H341</f>
        <v>1</v>
      </c>
      <c r="P345" s="381">
        <f>IF(Q353&lt;0,-1,1)</f>
        <v>1</v>
      </c>
      <c r="Q345" s="382">
        <f>(Q347*(N345+H345+N346+H346)*4)</f>
        <v>1319.3792127587394</v>
      </c>
      <c r="R345" s="383">
        <f>(O352+F354+O354)/3</f>
        <v>2017.4505847071853</v>
      </c>
      <c r="S345" s="384">
        <f>P254</f>
        <v>172611.82586313627</v>
      </c>
      <c r="T345" s="277">
        <f>(AH342*-1-AH341)+T340</f>
        <v>204.29903298603173</v>
      </c>
      <c r="U345" s="154">
        <f>(U342+U341)/2</f>
        <v>220.30987098568778</v>
      </c>
      <c r="V345" s="154">
        <f>(U341+T343)/2</f>
        <v>215.30678259607248</v>
      </c>
      <c r="W345" s="154">
        <f>W341</f>
        <v>2713229282.2952132</v>
      </c>
      <c r="X345" s="154">
        <f>(U342+T340)/2</f>
        <v>223.56140086249414</v>
      </c>
      <c r="Y345" s="161">
        <f>(Y347/AH347)</f>
        <v>-12.646941459425957</v>
      </c>
      <c r="Z345" s="161"/>
      <c r="AA345" s="161"/>
      <c r="AB345" s="161"/>
      <c r="AC345" s="161"/>
      <c r="AD345" s="161"/>
      <c r="AE345" s="161"/>
      <c r="AF345" s="161"/>
      <c r="AG345" s="161"/>
      <c r="AH345" s="152">
        <f>AA341</f>
        <v>1</v>
      </c>
      <c r="AI345" s="152">
        <f>IF(AJ353&lt;0,-1,1)</f>
        <v>1</v>
      </c>
      <c r="AJ345" s="183">
        <f>Q345</f>
        <v>1319.3792127587394</v>
      </c>
      <c r="AK345" s="184" t="s">
        <v>51</v>
      </c>
      <c r="AL345" s="151"/>
      <c r="AM345" s="616">
        <f>(BA342*-1-BA341)+AM340</f>
        <v>204.73567126542989</v>
      </c>
      <c r="AN345" s="505">
        <f>(AN342+AN341)/2</f>
        <v>220.50184099855232</v>
      </c>
      <c r="AO345" s="505">
        <f>(AN341+AM343)/2</f>
        <v>215.48729290428042</v>
      </c>
      <c r="AP345" s="505">
        <f>AP341</f>
        <v>14436074999.123283</v>
      </c>
      <c r="AQ345" s="505">
        <f>(AN342+AM340)/2</f>
        <v>223.90148934410297</v>
      </c>
      <c r="AR345" s="699">
        <f>(AR347/BA347)</f>
        <v>-48.91019445923957</v>
      </c>
      <c r="AS345" s="699"/>
      <c r="AT345" s="700">
        <v>0.51</v>
      </c>
      <c r="AU345" s="701"/>
      <c r="AV345" s="701"/>
      <c r="AW345" s="701"/>
      <c r="AX345" s="701"/>
      <c r="AY345" s="701"/>
      <c r="AZ345" s="702">
        <v>0.9</v>
      </c>
      <c r="BA345" s="703">
        <f>AT341</f>
        <v>1</v>
      </c>
      <c r="BB345" s="703">
        <f>IF(BC353&lt;0,-1,1)</f>
        <v>1</v>
      </c>
      <c r="BC345" s="704">
        <f>(BC347*(AZ345+AT345+AZ346+AT346)*4)</f>
        <v>1053.1057846634974</v>
      </c>
      <c r="BD345" s="705">
        <f>(BA352+AR354+BA354)/3</f>
        <v>1603.4320984768092</v>
      </c>
      <c r="BE345" s="706">
        <f>BB254</f>
        <v>139108.03955126429</v>
      </c>
      <c r="BF345" s="616">
        <f>(BT342*-1-BT341)+BF340</f>
        <v>203.20335027659473</v>
      </c>
      <c r="BG345" s="505">
        <f>(BG342+BG341)/2</f>
        <v>218.77861511598735</v>
      </c>
      <c r="BH345" s="505">
        <f>(BG341+BF343)/2</f>
        <v>213.84930732376188</v>
      </c>
      <c r="BI345" s="505">
        <f>BI341</f>
        <v>7524879220.6858606</v>
      </c>
      <c r="BJ345" s="505">
        <f>(BG342+BF340)/2</f>
        <v>222.08192522879835</v>
      </c>
      <c r="BK345" s="512">
        <f>(BK347/BT347)</f>
        <v>-33.505644674388265</v>
      </c>
      <c r="BL345" s="512"/>
      <c r="BM345" s="512"/>
      <c r="BN345" s="512"/>
      <c r="BO345" s="512"/>
      <c r="BP345" s="512"/>
      <c r="BQ345" s="512"/>
      <c r="BR345" s="512"/>
      <c r="BS345" s="512"/>
      <c r="BT345" s="503">
        <f>BM341</f>
        <v>1</v>
      </c>
      <c r="BU345" s="503">
        <f>IF(BV353&lt;0,-1,1)</f>
        <v>1</v>
      </c>
      <c r="BV345" s="534">
        <f>BC345</f>
        <v>1053.1057846634974</v>
      </c>
      <c r="BW345" s="535" t="s">
        <v>51</v>
      </c>
      <c r="BX345" s="502"/>
      <c r="BY345" s="797"/>
      <c r="BZ345" s="797"/>
      <c r="CA345" s="797"/>
      <c r="CB345" s="797"/>
      <c r="CC345" s="797"/>
      <c r="CD345" s="797"/>
      <c r="CE345" s="797"/>
      <c r="CF345" s="797"/>
      <c r="CG345" s="797"/>
      <c r="CH345" s="797"/>
      <c r="CI345" s="797"/>
      <c r="CJ345" s="797"/>
      <c r="CK345" s="797"/>
      <c r="CL345" s="797"/>
      <c r="CM345" s="797"/>
      <c r="CN345" s="797"/>
      <c r="CO345" s="797"/>
      <c r="CP345" s="797"/>
      <c r="CQ345" s="797"/>
      <c r="CR345" s="797"/>
      <c r="CS345" s="797"/>
      <c r="CT345" s="797"/>
      <c r="CU345" s="797"/>
    </row>
    <row r="346" spans="1:99" ht="15.75" thickBot="1" x14ac:dyDescent="0.3">
      <c r="A346" s="163">
        <f>(A345-A344)+A340-A342</f>
        <v>-47.892404077785841</v>
      </c>
      <c r="B346" s="163">
        <f>(A346*-1)+A347</f>
        <v>19.904428544910246</v>
      </c>
      <c r="C346" s="163">
        <f>(B346/2)+A341</f>
        <v>13.689548841434672</v>
      </c>
      <c r="D346" s="163">
        <f>(C354+C347+B353+B346+A341)*-1</f>
        <v>7.8399958479628467</v>
      </c>
      <c r="E346" s="163">
        <f>(C346*A341)*D346</f>
        <v>401.11319266332356</v>
      </c>
      <c r="F346" s="381">
        <f>(E346*A341)</f>
        <v>1499.0942010143929</v>
      </c>
      <c r="G346" s="381">
        <f>(F346+E346)</f>
        <v>1900.2073936777165</v>
      </c>
      <c r="H346" s="385">
        <v>0.1797</v>
      </c>
      <c r="I346" s="386"/>
      <c r="J346" s="386"/>
      <c r="K346" s="386"/>
      <c r="L346" s="386"/>
      <c r="M346" s="386"/>
      <c r="N346" s="387">
        <v>0.32600000000000001</v>
      </c>
      <c r="O346" s="377">
        <v>785.5</v>
      </c>
      <c r="P346" s="381">
        <f>IF(N344&gt;-1,1,-1)</f>
        <v>-1</v>
      </c>
      <c r="Q346" s="388">
        <f>N345</f>
        <v>0.9</v>
      </c>
      <c r="R346" s="389">
        <f>(F355+H350+O354)/3</f>
        <v>2694.8928928088171</v>
      </c>
      <c r="S346" s="384">
        <f>P255</f>
        <v>171566.19958692417</v>
      </c>
      <c r="T346" s="163">
        <f>(T345-T344)+T340-T342</f>
        <v>-48.530912532155384</v>
      </c>
      <c r="U346" s="163">
        <f>(T346*-1)+T347</f>
        <v>20.012353558461143</v>
      </c>
      <c r="V346" s="163">
        <f>(U346/2)+T341</f>
        <v>13.00611950722552</v>
      </c>
      <c r="W346" s="163">
        <f>(V354+V347+U353+U346+T341)*-1</f>
        <v>7.5036774315358166</v>
      </c>
      <c r="X346" s="163">
        <f>(V346*T341)*W346</f>
        <v>292.77558686634251</v>
      </c>
      <c r="Y346" s="152">
        <f>(X346*T341)</f>
        <v>878.30999275413762</v>
      </c>
      <c r="Z346" s="152">
        <f>(Y346+X346)</f>
        <v>1171.0855796204801</v>
      </c>
      <c r="AA346" s="161"/>
      <c r="AB346" s="161"/>
      <c r="AC346" s="161"/>
      <c r="AD346" s="161"/>
      <c r="AE346" s="161"/>
      <c r="AF346" s="161"/>
      <c r="AG346" s="161"/>
      <c r="AH346" s="161">
        <v>785.5</v>
      </c>
      <c r="AI346" s="152">
        <f>IF(AG344&gt;-1,1,-1)</f>
        <v>-1</v>
      </c>
      <c r="AJ346" s="191">
        <f>H345</f>
        <v>0.51</v>
      </c>
      <c r="AK346" s="192">
        <f>(Y355+AA350)/2</f>
        <v>2720.1491837873209</v>
      </c>
      <c r="AL346" s="151"/>
      <c r="AM346" s="514">
        <f>(AM345-AM344)+AM340-AM342</f>
        <v>-48.36073234589</v>
      </c>
      <c r="AN346" s="514">
        <f>(AM346*-1)+AM347</f>
        <v>20.058192377087721</v>
      </c>
      <c r="AO346" s="514">
        <f>(AN346/2)+AM341</f>
        <v>13.598593382202466</v>
      </c>
      <c r="AP346" s="514">
        <f>(AO354+AO347+AN353+AN346+AM341)*-1</f>
        <v>7.8022063099556185</v>
      </c>
      <c r="AQ346" s="514">
        <f>(AO346*AM341)*AP346</f>
        <v>378.72019373686322</v>
      </c>
      <c r="AR346" s="703">
        <f>(AQ346*AM341)</f>
        <v>1351.8406687255767</v>
      </c>
      <c r="AS346" s="703">
        <f>(AR346+AQ346)</f>
        <v>1730.5608624624399</v>
      </c>
      <c r="AT346" s="707">
        <v>0.1797</v>
      </c>
      <c r="AU346" s="708"/>
      <c r="AV346" s="708"/>
      <c r="AW346" s="708"/>
      <c r="AX346" s="708"/>
      <c r="AY346" s="708"/>
      <c r="AZ346" s="709">
        <v>0.32600000000000001</v>
      </c>
      <c r="BA346" s="699">
        <v>785.5</v>
      </c>
      <c r="BB346" s="703">
        <f>IF(AZ344&gt;-1,1,-1)</f>
        <v>-1</v>
      </c>
      <c r="BC346" s="710">
        <f>AZ345</f>
        <v>0.9</v>
      </c>
      <c r="BD346" s="711">
        <f>(AR355+AT350+BA354)/3</f>
        <v>1977.9409195628698</v>
      </c>
      <c r="BE346" s="706">
        <f>BB255</f>
        <v>135584.77149851166</v>
      </c>
      <c r="BF346" s="514">
        <f>(BF345-BF344)+BF340-BF342</f>
        <v>-47.615765488858187</v>
      </c>
      <c r="BG346" s="514">
        <f>(BF346*-1)+BF347</f>
        <v>19.71723116890189</v>
      </c>
      <c r="BH346" s="514">
        <f>(BG346/2)+BF341</f>
        <v>13.213240451244019</v>
      </c>
      <c r="BI346" s="514">
        <f>(BH354+BH347+BG353+BG346+BF341)*-1</f>
        <v>7.5924817840671039</v>
      </c>
      <c r="BJ346" s="514">
        <f>(BH346*BF341)*BI346</f>
        <v>336.54028549670011</v>
      </c>
      <c r="BK346" s="503">
        <f>(BJ346*BF341)</f>
        <v>1128.9664104048707</v>
      </c>
      <c r="BL346" s="503">
        <f>(BK346+BJ346)</f>
        <v>1465.5066959015708</v>
      </c>
      <c r="BM346" s="512"/>
      <c r="BN346" s="512"/>
      <c r="BO346" s="512"/>
      <c r="BP346" s="512"/>
      <c r="BQ346" s="512"/>
      <c r="BR346" s="512"/>
      <c r="BS346" s="512"/>
      <c r="BT346" s="512">
        <v>785.5</v>
      </c>
      <c r="BU346" s="503">
        <f>IF(BS344&gt;-1,1,-1)</f>
        <v>-1</v>
      </c>
      <c r="BV346" s="542">
        <f>AT345</f>
        <v>0.51</v>
      </c>
      <c r="BW346" s="543">
        <f>(BK355+BM350)/2</f>
        <v>1923.9555841325309</v>
      </c>
      <c r="BX346" s="502"/>
      <c r="BY346" s="797"/>
      <c r="BZ346" s="797"/>
      <c r="CA346" s="797"/>
      <c r="CB346" s="797"/>
      <c r="CC346" s="797"/>
      <c r="CD346" s="797"/>
      <c r="CE346" s="797"/>
      <c r="CF346" s="797"/>
      <c r="CG346" s="797"/>
      <c r="CH346" s="797"/>
      <c r="CI346" s="797"/>
      <c r="CJ346" s="797"/>
      <c r="CK346" s="797"/>
      <c r="CL346" s="797"/>
      <c r="CM346" s="797"/>
      <c r="CN346" s="797"/>
      <c r="CO346" s="797"/>
      <c r="CP346" s="797"/>
      <c r="CQ346" s="797"/>
      <c r="CR346" s="797"/>
      <c r="CS346" s="797"/>
      <c r="CT346" s="797"/>
      <c r="CU346" s="797"/>
    </row>
    <row r="347" spans="1:99" ht="15.75" thickBot="1" x14ac:dyDescent="0.3">
      <c r="A347" s="163">
        <f>(A345-A344)+A340-A343</f>
        <v>-27.987975532875595</v>
      </c>
      <c r="B347" s="163">
        <f>A348+(A347*-1)+A346</f>
        <v>-95.784808155571682</v>
      </c>
      <c r="C347" s="154">
        <f>(B347/10)</f>
        <v>-9.5784808155571675</v>
      </c>
      <c r="D347" s="154"/>
      <c r="E347" s="154"/>
      <c r="F347" s="377">
        <f>(Q353*-1)</f>
        <v>-49.479220486189519</v>
      </c>
      <c r="G347" s="377"/>
      <c r="H347" s="390"/>
      <c r="I347" s="391"/>
      <c r="J347" s="391"/>
      <c r="K347" s="391"/>
      <c r="L347" s="391"/>
      <c r="M347" s="391"/>
      <c r="N347" s="392" t="str">
        <f>IF((R348+AK348+AK416+R416)/4&gt;0,"1","0")</f>
        <v>0</v>
      </c>
      <c r="O347" s="377">
        <f>(H355/1000)*8.9</f>
        <v>5.2845530000000007</v>
      </c>
      <c r="P347" s="381">
        <f>(P349+O351)/2</f>
        <v>1286.4965638523695</v>
      </c>
      <c r="Q347" s="393">
        <f>((R350+S350+S348+S347+S346+S345)/6)/F258</f>
        <v>172.17977929200023</v>
      </c>
      <c r="R347" s="394">
        <f>(P350+P349)/2</f>
        <v>1293.8224993584822</v>
      </c>
      <c r="S347" s="395">
        <f>(J297)</f>
        <v>171622</v>
      </c>
      <c r="T347" s="163">
        <f>(T345-T344)+T340-T343</f>
        <v>-28.51855897369424</v>
      </c>
      <c r="U347" s="163">
        <f>T348+(T347*-1)+T346</f>
        <v>-97.061825064310767</v>
      </c>
      <c r="V347" s="154">
        <f>(U347/10)</f>
        <v>-9.7061825064310767</v>
      </c>
      <c r="W347" s="154"/>
      <c r="X347" s="154"/>
      <c r="Y347" s="161">
        <f>(AJ353*-1)</f>
        <v>-37.872315896392166</v>
      </c>
      <c r="Z347" s="161"/>
      <c r="AA347" s="161"/>
      <c r="AB347" s="161"/>
      <c r="AC347" s="161"/>
      <c r="AD347" s="161"/>
      <c r="AE347" s="161"/>
      <c r="AF347" s="161"/>
      <c r="AG347" s="161"/>
      <c r="AH347" s="161">
        <f>(AA355/1000)*8.9</f>
        <v>2.9945830000000004</v>
      </c>
      <c r="AI347" s="152">
        <f>(AI349+AH351)/2</f>
        <v>1288.5829346369644</v>
      </c>
      <c r="AJ347" s="195" t="s">
        <v>52</v>
      </c>
      <c r="AK347" s="192">
        <f>(AI350+AI349)/2</f>
        <v>1295.9404175628692</v>
      </c>
      <c r="AL347" s="151"/>
      <c r="AM347" s="514">
        <f>(AM345-AM344)+AM340-AM343</f>
        <v>-28.302539968802279</v>
      </c>
      <c r="AN347" s="514">
        <f>AM348+(AM347*-1)+AM346</f>
        <v>-96.72146469178</v>
      </c>
      <c r="AO347" s="505">
        <f>(AN347/10)</f>
        <v>-9.6721464691779993</v>
      </c>
      <c r="AP347" s="505"/>
      <c r="AQ347" s="505"/>
      <c r="AR347" s="699">
        <f>(BC353*-1)</f>
        <v>-205.49241593552171</v>
      </c>
      <c r="AS347" s="699"/>
      <c r="AT347" s="712"/>
      <c r="AU347" s="713"/>
      <c r="AV347" s="713"/>
      <c r="AW347" s="713"/>
      <c r="AX347" s="713"/>
      <c r="AY347" s="713"/>
      <c r="AZ347" s="714" t="str">
        <f>IF((BD348+BW348+BW416+BD416)/4&gt;0,"1","0")</f>
        <v>1</v>
      </c>
      <c r="BA347" s="699">
        <f>(AT355/1000)*8.9</f>
        <v>4.2014230000000001</v>
      </c>
      <c r="BB347" s="703">
        <f>(BB349+BA351)/2</f>
        <v>1023.1582852165938</v>
      </c>
      <c r="BC347" s="715">
        <f>((BD350+BE350+BE348+BE347+BE346+BE345)/6)/AR258</f>
        <v>137.43093708089697</v>
      </c>
      <c r="BD347" s="716">
        <f>(BB350+BB349)/2</f>
        <v>1029.0085913265775</v>
      </c>
      <c r="BE347" s="410">
        <f>(AV297)</f>
        <v>137344</v>
      </c>
      <c r="BF347" s="514">
        <f>(BF345-BF344)+BF340-BF343</f>
        <v>-27.898534319956298</v>
      </c>
      <c r="BG347" s="514">
        <f>BF348+(BF347*-1)+BF346</f>
        <v>-95.231530977716375</v>
      </c>
      <c r="BH347" s="505">
        <f>(BG347/10)</f>
        <v>-9.5231530977716368</v>
      </c>
      <c r="BI347" s="505"/>
      <c r="BJ347" s="505"/>
      <c r="BK347" s="512">
        <f>(BV353*-1)</f>
        <v>-79.768563558549872</v>
      </c>
      <c r="BL347" s="512"/>
      <c r="BM347" s="512"/>
      <c r="BN347" s="512"/>
      <c r="BO347" s="512"/>
      <c r="BP347" s="512"/>
      <c r="BQ347" s="512"/>
      <c r="BR347" s="512"/>
      <c r="BS347" s="512"/>
      <c r="BT347" s="512">
        <f>(BM355/1000)*8.9</f>
        <v>2.3807500000000004</v>
      </c>
      <c r="BU347" s="503">
        <f>(BU349+BT351)/2</f>
        <v>1023.7472384373223</v>
      </c>
      <c r="BV347" s="546" t="s">
        <v>52</v>
      </c>
      <c r="BW347" s="543">
        <f>(BU350+BU349)/2</f>
        <v>1029.5464240752344</v>
      </c>
      <c r="BX347" s="502"/>
      <c r="BY347" s="797"/>
      <c r="BZ347" s="797"/>
      <c r="CA347" s="797"/>
      <c r="CB347" s="797"/>
      <c r="CC347" s="797"/>
      <c r="CD347" s="797"/>
      <c r="CE347" s="797"/>
      <c r="CF347" s="797"/>
      <c r="CG347" s="797"/>
      <c r="CH347" s="797"/>
      <c r="CI347" s="797"/>
      <c r="CJ347" s="797"/>
      <c r="CK347" s="797"/>
      <c r="CL347" s="797"/>
      <c r="CM347" s="797"/>
      <c r="CN347" s="797"/>
      <c r="CO347" s="797"/>
      <c r="CP347" s="797"/>
      <c r="CQ347" s="797"/>
      <c r="CR347" s="797"/>
      <c r="CS347" s="797"/>
      <c r="CT347" s="797"/>
      <c r="CU347" s="797"/>
    </row>
    <row r="348" spans="1:99" x14ac:dyDescent="0.25">
      <c r="A348" s="163">
        <f>(A347+A346)</f>
        <v>-75.880379610661436</v>
      </c>
      <c r="B348" s="154"/>
      <c r="C348" s="154">
        <f>((F348+E348*-1)+E352)*10-A341+O348*-1-C344*111</f>
        <v>9.886318951463771</v>
      </c>
      <c r="D348" s="154"/>
      <c r="E348" s="154">
        <f>(E352+O348+F348)</f>
        <v>-3.9365814958594925E-2</v>
      </c>
      <c r="F348" s="377">
        <f>(O348*E352)</f>
        <v>6.1832783807690248</v>
      </c>
      <c r="G348" s="377"/>
      <c r="H348" s="396">
        <f>(P349+H349)/2</f>
        <v>981.6068802063678</v>
      </c>
      <c r="I348" s="377"/>
      <c r="J348" s="377"/>
      <c r="K348" s="377"/>
      <c r="L348" s="377"/>
      <c r="M348" s="377"/>
      <c r="N348" s="377">
        <f>(A344-A340)-(A340-B345)</f>
        <v>15.547707692306687</v>
      </c>
      <c r="O348" s="381">
        <f>(P348+A341+C344*10)</f>
        <v>-1.241282842691172</v>
      </c>
      <c r="P348" s="377">
        <f>E352</f>
        <v>-4.9813613530364478</v>
      </c>
      <c r="Q348" s="397">
        <f>(Q344*Q343*10)</f>
        <v>-46.731125462098603</v>
      </c>
      <c r="R348" s="398">
        <f>(P359+O359+P361+O361+N361+P360+O360+N360+H362+F362+E362+E361+F361+H361+H360+F360+E360+E359+F359+H359)</f>
        <v>0</v>
      </c>
      <c r="S348" s="399">
        <f>M257</f>
        <v>172280.65030194088</v>
      </c>
      <c r="T348" s="163">
        <f>(T347+T346)</f>
        <v>-77.049471505849624</v>
      </c>
      <c r="U348" s="154"/>
      <c r="V348" s="154">
        <f>((Y348+X348*-1)+X352)*10-T341+AH348*-1-V344*111</f>
        <v>10.657517410479755</v>
      </c>
      <c r="W348" s="154"/>
      <c r="X348" s="154">
        <f>(X352+AH348+Y348)</f>
        <v>-0.19967247734727334</v>
      </c>
      <c r="Y348" s="161">
        <f>(AH348*X352)</f>
        <v>5.2972428195291998</v>
      </c>
      <c r="Z348" s="161"/>
      <c r="AA348" s="191">
        <f>(AI349+AA349)/2</f>
        <v>983.24277660678786</v>
      </c>
      <c r="AB348" s="161"/>
      <c r="AC348" s="161"/>
      <c r="AD348" s="161"/>
      <c r="AE348" s="161"/>
      <c r="AF348" s="161"/>
      <c r="AG348" s="161">
        <f>(T344-T340)-(T340-U345)</f>
        <v>16.010837999656047</v>
      </c>
      <c r="AH348" s="152">
        <f>(AI348+T341+V344*10)</f>
        <v>-1.2462004714776997</v>
      </c>
      <c r="AI348" s="161">
        <f>X352</f>
        <v>-4.2507148253987737</v>
      </c>
      <c r="AJ348" s="162">
        <f>(AJ344*AJ343*10)</f>
        <v>-34.992255375064246</v>
      </c>
      <c r="AK348" s="200">
        <f>(AI359+AH359+AI361+AH361+AG361+AI360+AH360+AG360+AA362+Y362+X362+X361+Y361+AA361+AA360+Y360+X360+X359+Y359+AA359)</f>
        <v>0</v>
      </c>
      <c r="AL348" s="151"/>
      <c r="AM348" s="514">
        <f>(AM347+AM346)</f>
        <v>-76.663272314692279</v>
      </c>
      <c r="AN348" s="505"/>
      <c r="AO348" s="505">
        <f>((AR348+AQ348*-1)+AQ352)*10-AM341+BA348*-1-AO344*111</f>
        <v>10.153645506599783</v>
      </c>
      <c r="AP348" s="505"/>
      <c r="AQ348" s="505">
        <f>(AQ352+BA348+AR348)</f>
        <v>-4.1878683563542296E-2</v>
      </c>
      <c r="AR348" s="699">
        <f>(BA348*AQ352)</f>
        <v>6.0318670115754092</v>
      </c>
      <c r="AS348" s="699"/>
      <c r="AT348" s="717">
        <f>(BB349+AT349)/2</f>
        <v>780.7820551540708</v>
      </c>
      <c r="AU348" s="699"/>
      <c r="AV348" s="699"/>
      <c r="AW348" s="699"/>
      <c r="AX348" s="699"/>
      <c r="AY348" s="699"/>
      <c r="AZ348" s="699">
        <f>(AM344-AM340)-(AM340-AN345)</f>
        <v>15.766169733122439</v>
      </c>
      <c r="BA348" s="703">
        <f>(BB348+AM341+AO344*10)</f>
        <v>-1.2506114779123565</v>
      </c>
      <c r="BB348" s="699">
        <f>AQ352</f>
        <v>-4.8231342172265954</v>
      </c>
      <c r="BC348" s="718">
        <f>(BC344*BC343*10)</f>
        <v>-39.492456963460249</v>
      </c>
      <c r="BD348" s="719">
        <f>(BB359+BA359+BB361+BA361+AZ361+BB360+BA360+AZ360+AT362+AR362+AQ362+AQ361+AR361+AT361+AT360+AR360+AQ360+AQ359+AR359+AT359)</f>
        <v>-2</v>
      </c>
      <c r="BE348" s="720">
        <f>AY257</f>
        <v>137637.81143560572</v>
      </c>
      <c r="BF348" s="514">
        <f>(BF347+BF346)</f>
        <v>-75.514299808814485</v>
      </c>
      <c r="BG348" s="505"/>
      <c r="BH348" s="505">
        <f>((BK348+BJ348*-1)+BJ352)*10-BF341+BT348*-1-BH344*111</f>
        <v>10.121361030333206</v>
      </c>
      <c r="BI348" s="505"/>
      <c r="BJ348" s="505">
        <f>(BJ352+BT348+BK348)</f>
        <v>-0.179575660104204</v>
      </c>
      <c r="BK348" s="512">
        <f>(BT348*BJ352)</f>
        <v>5.6361008163086757</v>
      </c>
      <c r="BL348" s="512"/>
      <c r="BM348" s="542">
        <f>(BU349+BM349)/2</f>
        <v>781.10876615242148</v>
      </c>
      <c r="BN348" s="512"/>
      <c r="BO348" s="512"/>
      <c r="BP348" s="512"/>
      <c r="BQ348" s="512"/>
      <c r="BR348" s="512"/>
      <c r="BS348" s="512">
        <f>(BF344-BF340)-(BF340-BG345)</f>
        <v>15.575264839392617</v>
      </c>
      <c r="BT348" s="503">
        <f>(BU348+BF341+BH344*10)</f>
        <v>-1.2287246615634373</v>
      </c>
      <c r="BU348" s="512">
        <f>BJ352</f>
        <v>-4.5869518148494421</v>
      </c>
      <c r="BV348" s="513">
        <f>(BV344*BV343*10)</f>
        <v>-34.324744344970391</v>
      </c>
      <c r="BW348" s="550">
        <f>(BU359+BT359+BU361+BT361+BS361+BU360+BT360+BS360+BM362+BK362+BJ362+BJ361+BK361+BM361+BM360+BK360+BJ360+BJ359+BK359+BM359)</f>
        <v>0</v>
      </c>
      <c r="BX348" s="502"/>
      <c r="BY348" s="797"/>
      <c r="BZ348" s="797"/>
      <c r="CA348" s="797"/>
      <c r="CB348" s="797"/>
      <c r="CC348" s="797"/>
      <c r="CD348" s="797"/>
      <c r="CE348" s="797"/>
      <c r="CF348" s="797"/>
      <c r="CG348" s="797"/>
      <c r="CH348" s="797"/>
      <c r="CI348" s="797"/>
      <c r="CJ348" s="797"/>
      <c r="CK348" s="797"/>
      <c r="CL348" s="797"/>
      <c r="CM348" s="797"/>
      <c r="CN348" s="797"/>
      <c r="CO348" s="797"/>
      <c r="CP348" s="797"/>
      <c r="CQ348" s="797"/>
      <c r="CR348" s="797"/>
      <c r="CS348" s="797"/>
      <c r="CT348" s="797"/>
      <c r="CU348" s="797"/>
    </row>
    <row r="349" spans="1:99" x14ac:dyDescent="0.25">
      <c r="A349" s="163">
        <f>(A340+A348)</f>
        <v>148.18204868017497</v>
      </c>
      <c r="B349" s="154">
        <f>(A340+A349)/2</f>
        <v>186.1222384855057</v>
      </c>
      <c r="C349" s="154">
        <f>(E345-A340)-(A340-B349)</f>
        <v>-38.874523447575598</v>
      </c>
      <c r="D349" s="163">
        <f>(B345+C345)/2</f>
        <v>217.21765387011908</v>
      </c>
      <c r="E349" s="163">
        <f>(A344+A350)</f>
        <v>449.05919022391771</v>
      </c>
      <c r="F349" s="396">
        <f>(G346*2)-G353</f>
        <v>3644.392742827295</v>
      </c>
      <c r="G349" s="396">
        <f>(A341*F349)</f>
        <v>13620.314980706644</v>
      </c>
      <c r="H349" s="396">
        <f>(N351+P349)/2</f>
        <v>654.73939004202782</v>
      </c>
      <c r="I349" s="396"/>
      <c r="J349" s="396"/>
      <c r="K349" s="396"/>
      <c r="L349" s="396"/>
      <c r="M349" s="396"/>
      <c r="N349" s="400">
        <f>(O349+O350)/2</f>
        <v>1328.1647558870727</v>
      </c>
      <c r="O349" s="401">
        <f>(A343+C345)/2*Q354/Q346</f>
        <v>1257.1928218279184</v>
      </c>
      <c r="P349" s="402">
        <f>B342*Q354/Q346</f>
        <v>1308.4743703707077</v>
      </c>
      <c r="Q349" s="403">
        <f>(A345+B342)/2</f>
        <v>213.17588037613638</v>
      </c>
      <c r="R349" s="196">
        <f>(F355+F354+F352+F350)/4.79</f>
        <v>1768.5566122534874</v>
      </c>
      <c r="S349" s="404">
        <f>((((S351/10)+Q347)/2-R350*-1)+Q347+S350+R350)/4.96</f>
        <v>104443.21040426461</v>
      </c>
      <c r="T349" s="163">
        <f>(T340+T348)</f>
        <v>147.26191503864325</v>
      </c>
      <c r="U349" s="154">
        <f>(T340+T349)/2</f>
        <v>185.78665079156806</v>
      </c>
      <c r="V349" s="154">
        <f>(X345-T340)-(T340-U349)</f>
        <v>-39.274721434923549</v>
      </c>
      <c r="W349" s="163">
        <f>(U345+V345)/2</f>
        <v>217.80832679088013</v>
      </c>
      <c r="X349" s="163">
        <f>(T344+T350)</f>
        <v>449.37275877098449</v>
      </c>
      <c r="Y349" s="191">
        <f>(Z346*2)-Z353</f>
        <v>2187.4055667707812</v>
      </c>
      <c r="Z349" s="191">
        <f>(T341*Y349)</f>
        <v>6562.0914232096738</v>
      </c>
      <c r="AA349" s="191">
        <f>(AG351+AI349)/2</f>
        <v>655.83016979889692</v>
      </c>
      <c r="AB349" s="191"/>
      <c r="AC349" s="191"/>
      <c r="AD349" s="191"/>
      <c r="AE349" s="191"/>
      <c r="AF349" s="191"/>
      <c r="AG349" s="201">
        <f>(AH349+AH350)/2</f>
        <v>1330.1520108500272</v>
      </c>
      <c r="AH349" s="205">
        <f>(T343+V345)/2*AJ354/AJ346</f>
        <v>1259.1530029333449</v>
      </c>
      <c r="AI349" s="206">
        <f>U342*AJ354/AJ346</f>
        <v>1310.6553834146789</v>
      </c>
      <c r="AJ349" s="149">
        <f>(T345+U342)/2</f>
        <v>213.55522408326357</v>
      </c>
      <c r="AK349" s="152"/>
      <c r="AL349" s="151"/>
      <c r="AM349" s="514">
        <f>(AM340+AM348)</f>
        <v>148.13059132782533</v>
      </c>
      <c r="AN349" s="505">
        <f>(AM340+AM349)/2</f>
        <v>186.46222748517147</v>
      </c>
      <c r="AO349" s="505">
        <f>(AQ345-AM340)-(AM340-AN349)</f>
        <v>-39.224010455760776</v>
      </c>
      <c r="AP349" s="514">
        <f>(AN345+AO345)/2</f>
        <v>217.99456695141637</v>
      </c>
      <c r="AQ349" s="514">
        <f>(AM344+AM350)</f>
        <v>450.48010158344982</v>
      </c>
      <c r="AR349" s="717">
        <f>(AS346*2)-AS353</f>
        <v>3305.188927287099</v>
      </c>
      <c r="AS349" s="717">
        <f>(AM341*AR349)</f>
        <v>11797.862600462797</v>
      </c>
      <c r="AT349" s="717">
        <f>(AZ351+BB349)/2</f>
        <v>520.85490676159623</v>
      </c>
      <c r="AU349" s="717"/>
      <c r="AV349" s="717"/>
      <c r="AW349" s="717"/>
      <c r="AX349" s="717"/>
      <c r="AY349" s="717"/>
      <c r="AZ349" s="721">
        <f>(BA349+BA350)/2</f>
        <v>1056.3760721696558</v>
      </c>
      <c r="BA349" s="722">
        <f>(AM343+AO345)/2*BC354/BC346</f>
        <v>999.75706077665802</v>
      </c>
      <c r="BB349" s="723">
        <f>AN342*BC354/BC346</f>
        <v>1040.7092035465455</v>
      </c>
      <c r="BC349" s="724">
        <f>(AM345+AN342)/2</f>
        <v>213.87239315555911</v>
      </c>
      <c r="BD349" s="547">
        <f>(AR355+AR354+AR352+AR350)/4.79</f>
        <v>1303.1110223734038</v>
      </c>
      <c r="BE349" s="725">
        <f>((((BE351/10)+BC347)/2-BD350*-1)+BC347+BE350+BD350)/4.96</f>
        <v>83243.005080256655</v>
      </c>
      <c r="BF349" s="514">
        <f>(BF340+BF348)</f>
        <v>147.40628163668214</v>
      </c>
      <c r="BG349" s="505">
        <f>(BF340+BF349)/2</f>
        <v>185.16343154108938</v>
      </c>
      <c r="BH349" s="505">
        <f>(BJ345-BF340)-(BF340-BG349)</f>
        <v>-38.595806121105511</v>
      </c>
      <c r="BI349" s="514">
        <f>(BG345+BH345)/2</f>
        <v>216.31396121987461</v>
      </c>
      <c r="BJ349" s="514">
        <f>(BF344+BF350)</f>
        <v>446.67981910769151</v>
      </c>
      <c r="BK349" s="542">
        <f>(BL346*2)-BL353</f>
        <v>2776.0146283823924</v>
      </c>
      <c r="BL349" s="542">
        <f>(BF341*BK349)</f>
        <v>9312.4877029529089</v>
      </c>
      <c r="BM349" s="542">
        <f>(BS351+BU349)/2</f>
        <v>521.07273695378376</v>
      </c>
      <c r="BN349" s="542"/>
      <c r="BO349" s="542"/>
      <c r="BP349" s="542"/>
      <c r="BQ349" s="542"/>
      <c r="BR349" s="542"/>
      <c r="BS349" s="551">
        <f>(BT349+BT350)/2</f>
        <v>1056.629413818426</v>
      </c>
      <c r="BT349" s="554">
        <f>(BF343+BH345)/2*BV354/BV346</f>
        <v>1000.5504958856728</v>
      </c>
      <c r="BU349" s="555">
        <f>BG342*BV354/BV346</f>
        <v>1041.1447953510592</v>
      </c>
      <c r="BV349" s="500">
        <f>(BF345+BG342)/2</f>
        <v>212.22330964434741</v>
      </c>
      <c r="BW349" s="503"/>
      <c r="BX349" s="502"/>
      <c r="BY349" s="797"/>
      <c r="BZ349" s="797"/>
      <c r="CA349" s="797"/>
      <c r="CB349" s="797"/>
      <c r="CC349" s="797"/>
      <c r="CD349" s="797"/>
      <c r="CE349" s="797"/>
      <c r="CF349" s="797"/>
      <c r="CG349" s="797"/>
      <c r="CH349" s="797"/>
      <c r="CI349" s="797"/>
      <c r="CJ349" s="797"/>
      <c r="CK349" s="797"/>
      <c r="CL349" s="797"/>
      <c r="CM349" s="797"/>
      <c r="CN349" s="797"/>
      <c r="CO349" s="797"/>
      <c r="CP349" s="797"/>
      <c r="CQ349" s="797"/>
      <c r="CR349" s="797"/>
      <c r="CS349" s="797"/>
      <c r="CT349" s="797"/>
      <c r="CU349" s="797"/>
    </row>
    <row r="350" spans="1:99" x14ac:dyDescent="0.25">
      <c r="A350" s="163">
        <f>((A345+A344+A343+A342)/4-A345-A340)*-1</f>
        <v>205.09233338817106</v>
      </c>
      <c r="B350" s="154">
        <f>(B345+C345)/2</f>
        <v>217.21765387011908</v>
      </c>
      <c r="C350" s="154">
        <f>(E352+A341)</f>
        <v>-1.2440267840568993</v>
      </c>
      <c r="D350" s="163">
        <f>(A352+D351+A344+D351)/2</f>
        <v>379.08643255857072</v>
      </c>
      <c r="E350" s="163">
        <f>(A345+D351+A344)/3</f>
        <v>200.97175914628198</v>
      </c>
      <c r="F350" s="405">
        <f>(O350+P349)/2</f>
        <v>1353.8055301584673</v>
      </c>
      <c r="G350" s="403"/>
      <c r="H350" s="406">
        <f>(O350+P349+N349)/3</f>
        <v>1345.2586054013357</v>
      </c>
      <c r="I350" s="396"/>
      <c r="J350" s="396"/>
      <c r="K350" s="396"/>
      <c r="L350" s="396"/>
      <c r="M350" s="396"/>
      <c r="N350" s="407">
        <f>((A350+A344)/2)*Q354/Q346</f>
        <v>1322.2298378815353</v>
      </c>
      <c r="O350" s="408">
        <f>((A351+A342)/2)*Q354/Q346</f>
        <v>1399.1366899462271</v>
      </c>
      <c r="P350" s="409">
        <f>B341*Q354/Q346</f>
        <v>1279.1706283462565</v>
      </c>
      <c r="Q350" s="397">
        <f>A341+E352</f>
        <v>-1.2440267840568993</v>
      </c>
      <c r="R350" s="410">
        <f>(C311)</f>
        <v>172693</v>
      </c>
      <c r="S350" s="410">
        <f>(D311)</f>
        <v>172305</v>
      </c>
      <c r="T350" s="163">
        <f>((T345+T344+T343+T342)/4-T345-T340)*-1</f>
        <v>205.04901866803047</v>
      </c>
      <c r="U350" s="154">
        <f>(U345+V345)/2</f>
        <v>217.80832679088013</v>
      </c>
      <c r="V350" s="154">
        <f>(X352+T341)</f>
        <v>-1.250772097403825</v>
      </c>
      <c r="W350" s="163">
        <f>(T352+W351+T344+W351)/2</f>
        <v>379.07109673063303</v>
      </c>
      <c r="X350" s="163">
        <f>(T345+W351+T344)/3</f>
        <v>201.06499561820874</v>
      </c>
      <c r="Y350" s="191">
        <f>(AH350+AI349)/2</f>
        <v>1355.9032010906944</v>
      </c>
      <c r="Z350" s="149"/>
      <c r="AA350" s="191">
        <f>(AH350+AI349+AG349)/3</f>
        <v>1347.3194710104719</v>
      </c>
      <c r="AB350" s="191"/>
      <c r="AC350" s="191"/>
      <c r="AD350" s="191"/>
      <c r="AE350" s="191"/>
      <c r="AF350" s="191"/>
      <c r="AG350" s="207">
        <f>((T350+T344)/2)*AJ354/AJ346</f>
        <v>1321.6845846205426</v>
      </c>
      <c r="AH350" s="212">
        <f>((T351+T342)/2)*AJ354/AJ346</f>
        <v>1401.1510187667097</v>
      </c>
      <c r="AI350" s="213">
        <f>U341*AJ354/AJ346</f>
        <v>1281.2254517110596</v>
      </c>
      <c r="AJ350" s="162">
        <f>T341+X352</f>
        <v>-1.250772097403825</v>
      </c>
      <c r="AK350" s="152"/>
      <c r="AL350" s="151"/>
      <c r="AM350" s="514">
        <f>((AM345+AM344+AM343+AM342)/4-AM345-AM340)*-1</f>
        <v>205.62804556384452</v>
      </c>
      <c r="AN350" s="505">
        <f>(AN345+AO345)/2</f>
        <v>217.99456695141637</v>
      </c>
      <c r="AO350" s="505">
        <f>(AQ352+AM341)</f>
        <v>-1.2536370235679897</v>
      </c>
      <c r="AP350" s="514">
        <f>(AM352+AP351+AM344+AP351)/2</f>
        <v>380.10468868862591</v>
      </c>
      <c r="AQ350" s="514">
        <f>(AM345+AP351+AM344)/3</f>
        <v>201.55848625217996</v>
      </c>
      <c r="AR350" s="726">
        <f>(BA350+BB349)/2</f>
        <v>1076.8521435545995</v>
      </c>
      <c r="AS350" s="724"/>
      <c r="AT350" s="727">
        <f>(BA350+BB349+AZ349)/3</f>
        <v>1070.0267864262848</v>
      </c>
      <c r="AU350" s="717"/>
      <c r="AV350" s="717"/>
      <c r="AW350" s="717"/>
      <c r="AX350" s="717"/>
      <c r="AY350" s="717"/>
      <c r="AZ350" s="728">
        <f>((AM350+AM344)/2)*BC354/BC346</f>
        <v>1051.1202370280496</v>
      </c>
      <c r="BA350" s="729">
        <f>((AM351+AM342)/2)*BC354/BC346</f>
        <v>1112.9950835626535</v>
      </c>
      <c r="BB350" s="730">
        <f>AN341*BC354/BC346</f>
        <v>1017.3079791066098</v>
      </c>
      <c r="BC350" s="718">
        <f>AM341+AQ352</f>
        <v>-1.2536370235679897</v>
      </c>
      <c r="BD350" s="410">
        <f>(AO311)</f>
        <v>137699</v>
      </c>
      <c r="BE350" s="410">
        <f>(AP311)</f>
        <v>137212</v>
      </c>
      <c r="BF350" s="514">
        <f>((BF345+BF344+BF343+BF342)/4-BF345-BF340)*-1</f>
        <v>204.042006493293</v>
      </c>
      <c r="BG350" s="505">
        <f>(BG345+BH345)/2</f>
        <v>216.31396121987461</v>
      </c>
      <c r="BH350" s="505">
        <f>(BJ352+BF341)</f>
        <v>-1.2323269480563681</v>
      </c>
      <c r="BI350" s="514">
        <f>(BF352+BI351+BF344+BI351)/2</f>
        <v>377.15355304501293</v>
      </c>
      <c r="BJ350" s="514">
        <f>(BF345+BI351+BF344)/3</f>
        <v>199.95482347877831</v>
      </c>
      <c r="BK350" s="542">
        <f>(BT350+BU349)/2</f>
        <v>1076.9265635511192</v>
      </c>
      <c r="BL350" s="500"/>
      <c r="BM350" s="542">
        <f>(BT350+BU349+BS349)/3</f>
        <v>1070.1608469735547</v>
      </c>
      <c r="BN350" s="542"/>
      <c r="BO350" s="542"/>
      <c r="BP350" s="542"/>
      <c r="BQ350" s="542"/>
      <c r="BR350" s="542"/>
      <c r="BS350" s="556">
        <f>((BF350+BF344)/2)*BV354/BV346</f>
        <v>1051.0113390769211</v>
      </c>
      <c r="BT350" s="561">
        <f>((BF351+BF342)/2)*BV354/BV346</f>
        <v>1112.7083317511792</v>
      </c>
      <c r="BU350" s="562">
        <f>BG341*BV354/BV346</f>
        <v>1017.9480527994099</v>
      </c>
      <c r="BV350" s="513">
        <f>BF341+BJ352</f>
        <v>-1.2323269480563681</v>
      </c>
      <c r="BW350" s="503"/>
      <c r="BX350" s="502"/>
      <c r="BY350" s="797"/>
      <c r="BZ350" s="797"/>
      <c r="CA350" s="797"/>
      <c r="CB350" s="797"/>
      <c r="CC350" s="797"/>
      <c r="CD350" s="797"/>
      <c r="CE350" s="797"/>
      <c r="CF350" s="797"/>
      <c r="CG350" s="797"/>
      <c r="CH350" s="797"/>
      <c r="CI350" s="797"/>
      <c r="CJ350" s="797"/>
      <c r="CK350" s="797"/>
      <c r="CL350" s="797"/>
      <c r="CM350" s="797"/>
      <c r="CN350" s="797"/>
      <c r="CO350" s="797"/>
      <c r="CP350" s="797"/>
      <c r="CQ350" s="797"/>
      <c r="CR350" s="797"/>
      <c r="CS350" s="797"/>
      <c r="CT350" s="797"/>
      <c r="CU350" s="797"/>
    </row>
    <row r="351" spans="1:99" x14ac:dyDescent="0.25">
      <c r="A351" s="163">
        <f>((A345+A344+A343+A342)/4-A345-A340*-1)</f>
        <v>243.03252319350176</v>
      </c>
      <c r="B351" s="154">
        <f>B342/2</f>
        <v>111.09688050317331</v>
      </c>
      <c r="C351" s="154">
        <f>(B341+C345)/2</f>
        <v>215.97362708606218</v>
      </c>
      <c r="D351" s="163">
        <f>(A350+A349+B351)/3</f>
        <v>154.7904208571731</v>
      </c>
      <c r="E351" s="163">
        <f>(A345+A344+B351)/3</f>
        <v>186.40724569494873</v>
      </c>
      <c r="F351" s="403">
        <f>E348+(C355*-1)-E348-E352</f>
        <v>4.8676803045002188</v>
      </c>
      <c r="G351" s="403"/>
      <c r="H351" s="396">
        <f>(P351+N351)/2</f>
        <v>459.93659100726086</v>
      </c>
      <c r="I351" s="403"/>
      <c r="J351" s="403"/>
      <c r="K351" s="403"/>
      <c r="L351" s="403"/>
      <c r="M351" s="403"/>
      <c r="N351" s="411">
        <f>((N350+N349)/2/Q345)</f>
        <v>1.0044097133479915</v>
      </c>
      <c r="O351" s="408">
        <f>((A343+D349)/2)*Q354/Q346</f>
        <v>1264.5187573340311</v>
      </c>
      <c r="P351" s="412">
        <f>((B351+E350)/2)*Q354/Q346</f>
        <v>918.86877230117375</v>
      </c>
      <c r="Q351" s="397">
        <f>(Q350*Q348/10)</f>
        <v>5.8134771723974001</v>
      </c>
      <c r="R351" s="381">
        <f>(R350+R349+F355)/3</f>
        <v>59518.839003171837</v>
      </c>
      <c r="S351" s="413">
        <f>(R346+R347+R345+F352+O355)/5</f>
        <v>1781.0787242877723</v>
      </c>
      <c r="T351" s="163">
        <f>((T345+T344+T343+T342)/4-T345-T340*-1)</f>
        <v>243.57375442095528</v>
      </c>
      <c r="U351" s="154">
        <f>U342/2</f>
        <v>111.4057075902477</v>
      </c>
      <c r="V351" s="154">
        <f>(U341+V345)/2</f>
        <v>216.55755469347631</v>
      </c>
      <c r="W351" s="163">
        <f>(T350+T349+U351)/3</f>
        <v>154.57221376564047</v>
      </c>
      <c r="X351" s="163">
        <f>(T345+T344+U351)/3</f>
        <v>186.67616022641116</v>
      </c>
      <c r="Y351" s="149">
        <f>X348+(V355*-1)-X348-X352</f>
        <v>3.9082322358785291</v>
      </c>
      <c r="Z351" s="149"/>
      <c r="AA351" s="191">
        <f>(AI351+AG351)/2</f>
        <v>460.01821810399349</v>
      </c>
      <c r="AB351" s="149"/>
      <c r="AC351" s="149"/>
      <c r="AD351" s="149"/>
      <c r="AE351" s="149"/>
      <c r="AF351" s="149"/>
      <c r="AG351" s="207">
        <f>((AG350+AG349)/2/AJ345)</f>
        <v>1.0049561831149914</v>
      </c>
      <c r="AH351" s="212">
        <f>((T343+W349)/2)*AJ354/AJ346</f>
        <v>1266.5104858592499</v>
      </c>
      <c r="AI351" s="213">
        <f>((U351+X350)/2)*AJ354/AJ346</f>
        <v>919.03148002487194</v>
      </c>
      <c r="AJ351" s="162">
        <f>(AJ350*AJ348/10)</f>
        <v>4.3767336648359372</v>
      </c>
      <c r="AK351" s="152">
        <f>(AK350+AK349+Y355)/3</f>
        <v>1364.3262988547233</v>
      </c>
      <c r="AL351" s="151"/>
      <c r="AM351" s="514">
        <f>((AM345+AM344+AM343+AM342)/4-AM345-AM340*-1)</f>
        <v>243.95968172119069</v>
      </c>
      <c r="AN351" s="505">
        <f>AN342/2</f>
        <v>111.50455752284415</v>
      </c>
      <c r="AO351" s="505">
        <f>(AN341+AO345)/2</f>
        <v>216.74092992784841</v>
      </c>
      <c r="AP351" s="514">
        <f>(AM350+AM349+AN351)/3</f>
        <v>155.08773147150467</v>
      </c>
      <c r="AQ351" s="514">
        <f>(AM345+AM344+AN351)/3</f>
        <v>187.03076160262648</v>
      </c>
      <c r="AR351" s="724">
        <f>AQ348+(AO355*-1)-AQ348-AQ352</f>
        <v>3.9767797238263789</v>
      </c>
      <c r="AS351" s="724"/>
      <c r="AT351" s="717">
        <f>(BB351+AZ351)/2</f>
        <v>365.74052272585152</v>
      </c>
      <c r="AU351" s="724"/>
      <c r="AV351" s="724"/>
      <c r="AW351" s="724"/>
      <c r="AX351" s="724"/>
      <c r="AY351" s="724"/>
      <c r="AZ351" s="731">
        <f>((AZ350+AZ349)/2/BC345)</f>
        <v>1.0006099766468954</v>
      </c>
      <c r="BA351" s="729">
        <f>((AM343+AP349)/2)*BC354/BC346</f>
        <v>1005.607366886642</v>
      </c>
      <c r="BB351" s="732">
        <f>((AN351+AQ350)/2)*BC354/BC346</f>
        <v>730.4804354750562</v>
      </c>
      <c r="BC351" s="718">
        <f>(BC350*BC348/10)</f>
        <v>4.9509206201059239</v>
      </c>
      <c r="BD351" s="703">
        <f>(BD350+BD349+AR355)/3</f>
        <v>47254.555506859877</v>
      </c>
      <c r="BE351" s="733">
        <f>(BD346+BD347+BD345+AR352+BA355)/5</f>
        <v>1383.1758490342686</v>
      </c>
      <c r="BF351" s="514">
        <f>((BF345+BF344+BF343+BF342)/4-BF345-BF340*-1)</f>
        <v>241.79915639770024</v>
      </c>
      <c r="BG351" s="505">
        <f>BG342/2</f>
        <v>110.62163450605004</v>
      </c>
      <c r="BH351" s="505">
        <f>(BG341+BH345)/2</f>
        <v>215.08163427181825</v>
      </c>
      <c r="BI351" s="514">
        <f>(BF350+BF349+BG351)/3</f>
        <v>154.02330754534174</v>
      </c>
      <c r="BJ351" s="514">
        <f>(BF345+BF344+BG351)/3</f>
        <v>185.48759913234775</v>
      </c>
      <c r="BK351" s="500">
        <f>BJ348+(BH355*-1)-BJ348-BJ352</f>
        <v>3.7083128451826486</v>
      </c>
      <c r="BL351" s="500"/>
      <c r="BM351" s="542">
        <f>(BU351+BS351)/2</f>
        <v>365.88440749569929</v>
      </c>
      <c r="BN351" s="500"/>
      <c r="BO351" s="500"/>
      <c r="BP351" s="500"/>
      <c r="BQ351" s="500"/>
      <c r="BR351" s="500"/>
      <c r="BS351" s="556">
        <f>((BS350+BS349)/2/BV345)</f>
        <v>1.0006785565083609</v>
      </c>
      <c r="BT351" s="561">
        <f>((BF343+BI349)/2)*BV354/BV346</f>
        <v>1006.3496815235852</v>
      </c>
      <c r="BU351" s="562">
        <f>((BG351+BJ350)/2)*BV354/BV346</f>
        <v>730.76813643489027</v>
      </c>
      <c r="BV351" s="513">
        <f>(BV350*BV348/10)</f>
        <v>4.2299307441452445</v>
      </c>
      <c r="BW351" s="503">
        <f>(BW350+BW349+BK355)/3</f>
        <v>925.91677376383575</v>
      </c>
      <c r="BX351" s="502"/>
      <c r="BY351" s="797"/>
      <c r="BZ351" s="797"/>
      <c r="CA351" s="797"/>
      <c r="CB351" s="797"/>
      <c r="CC351" s="797"/>
      <c r="CD351" s="797"/>
      <c r="CE351" s="797"/>
      <c r="CF351" s="797"/>
      <c r="CG351" s="797"/>
      <c r="CH351" s="797"/>
      <c r="CI351" s="797"/>
      <c r="CJ351" s="797"/>
      <c r="CK351" s="797"/>
      <c r="CL351" s="797"/>
      <c r="CM351" s="797"/>
      <c r="CN351" s="797"/>
      <c r="CO351" s="797"/>
      <c r="CP351" s="797"/>
      <c r="CQ351" s="797"/>
      <c r="CR351" s="797"/>
      <c r="CS351" s="797"/>
      <c r="CT351" s="797"/>
      <c r="CU351" s="797"/>
    </row>
    <row r="352" spans="1:99" x14ac:dyDescent="0.25">
      <c r="A352" s="163">
        <f>(A345+A350)/2</f>
        <v>204.62516656704861</v>
      </c>
      <c r="B352" s="154">
        <f>(A342+B344)/2</f>
        <v>229.65792171068796</v>
      </c>
      <c r="C352" s="154">
        <f>(A341*C344)</f>
        <v>1.0255026921385398E-3</v>
      </c>
      <c r="D352" s="154">
        <f>(A342+B352)/2</f>
        <v>230.90194849474486</v>
      </c>
      <c r="E352" s="154">
        <f>(D352-A340)-(A340-A343)</f>
        <v>-4.9813613530364478</v>
      </c>
      <c r="F352" s="414">
        <f>(N352+H352)/2</f>
        <v>1373.2718147994824</v>
      </c>
      <c r="G352" s="403"/>
      <c r="H352" s="415">
        <f>A351*Q354/Q346</f>
        <v>1431.1915254728435</v>
      </c>
      <c r="I352" s="403"/>
      <c r="J352" s="403"/>
      <c r="K352" s="403"/>
      <c r="L352" s="403"/>
      <c r="M352" s="403"/>
      <c r="N352" s="416">
        <f>(N350+P349)/2</f>
        <v>1315.3521041261215</v>
      </c>
      <c r="O352" s="417">
        <f>((E349+A349)/2)*Q354/Q346</f>
        <v>1758.543647884273</v>
      </c>
      <c r="P352" s="409">
        <f>((E350+E352/10)/2)*Q354/Q346</f>
        <v>590.28344553232512</v>
      </c>
      <c r="Q352" s="163">
        <f>(Q351+C355)</f>
        <v>5.9271582209336291</v>
      </c>
      <c r="R352" s="152"/>
      <c r="S352" s="151"/>
      <c r="T352" s="163">
        <f>(T345+T350)/2</f>
        <v>204.6740258270311</v>
      </c>
      <c r="U352" s="154">
        <f>(T342+U344)/2</f>
        <v>230.31604776491832</v>
      </c>
      <c r="V352" s="154">
        <f>(T341*V344)</f>
        <v>1.3714615952192617E-3</v>
      </c>
      <c r="W352" s="154">
        <f>(T342+U352)/2</f>
        <v>231.56681986232215</v>
      </c>
      <c r="X352" s="154">
        <f>(W352-T340)-(T340-T343)</f>
        <v>-4.2507148253987737</v>
      </c>
      <c r="Y352" s="191">
        <f>(AG352+AA352)/2</f>
        <v>1374.4783873645561</v>
      </c>
      <c r="Z352" s="149"/>
      <c r="AA352" s="314">
        <f>T351*AJ354/AJ346</f>
        <v>1432.7867907115017</v>
      </c>
      <c r="AB352" s="149"/>
      <c r="AC352" s="149"/>
      <c r="AD352" s="149"/>
      <c r="AE352" s="149"/>
      <c r="AF352" s="149"/>
      <c r="AG352" s="207">
        <f>(AG350+AI349)/2</f>
        <v>1316.1699840176107</v>
      </c>
      <c r="AH352" s="212">
        <f>((X349+T349)/2)*AJ354/AJ346</f>
        <v>1754.807864145964</v>
      </c>
      <c r="AI352" s="213">
        <f>((X350+X352/10)/2)*AJ354/AJ346</f>
        <v>590.1174239284378</v>
      </c>
      <c r="AJ352" s="163">
        <f>(AJ351+V355)</f>
        <v>4.7192162543561818</v>
      </c>
      <c r="AK352" s="152"/>
      <c r="AL352" s="151"/>
      <c r="AM352" s="514">
        <f>(AM345+AM350)/2</f>
        <v>205.18185841463719</v>
      </c>
      <c r="AN352" s="505">
        <f>(AM342+AN344)/2</f>
        <v>230.53093718709619</v>
      </c>
      <c r="AO352" s="505">
        <f>(AM341*AO344)</f>
        <v>1.0799676727068221E-3</v>
      </c>
      <c r="AP352" s="505">
        <f>(AM342+AN352)/2</f>
        <v>231.78457421066418</v>
      </c>
      <c r="AQ352" s="505">
        <f>(AP352-AM340)-(AM340-AM343)</f>
        <v>-4.8231342172265954</v>
      </c>
      <c r="AR352" s="734">
        <f>(AZ352+AT352)/2</f>
        <v>1092.1966174930938</v>
      </c>
      <c r="AS352" s="724"/>
      <c r="AT352" s="735">
        <f>AM351*BC354/BC346</f>
        <v>1138.47851469889</v>
      </c>
      <c r="AU352" s="724"/>
      <c r="AV352" s="724"/>
      <c r="AW352" s="724"/>
      <c r="AX352" s="724"/>
      <c r="AY352" s="724"/>
      <c r="AZ352" s="736">
        <f>(AZ350+BB349)/2</f>
        <v>1045.9147202872975</v>
      </c>
      <c r="BA352" s="737">
        <f>((AQ349+AM349)/2)*BC354/BC346</f>
        <v>1396.7582834596419</v>
      </c>
      <c r="BB352" s="730">
        <f>((AQ350+AQ352/10)/2)*BC354/BC346</f>
        <v>469.17773660440037</v>
      </c>
      <c r="BC352" s="514">
        <f>(BC351+AO355)</f>
        <v>5.7972751135061404</v>
      </c>
      <c r="BD352" s="503"/>
      <c r="BE352" s="502"/>
      <c r="BF352" s="514">
        <f>(BF345+BF350)/2</f>
        <v>203.62267838494387</v>
      </c>
      <c r="BG352" s="505">
        <f>(BF342+BG344)/2</f>
        <v>228.63723070043829</v>
      </c>
      <c r="BH352" s="505">
        <f>(BF341*BH344)</f>
        <v>1.2084319846498224E-3</v>
      </c>
      <c r="BI352" s="505">
        <f>(BF342+BG352)/2</f>
        <v>229.86955764849466</v>
      </c>
      <c r="BJ352" s="505">
        <f>(BI352-BF340)-(BF340-BF343)</f>
        <v>-4.5869518148494421</v>
      </c>
      <c r="BK352" s="542">
        <f>(BS352+BM352)/2</f>
        <v>1091.9782251309957</v>
      </c>
      <c r="BL352" s="500"/>
      <c r="BM352" s="650">
        <f>BF351*BV354/BV346</f>
        <v>1137.8783830480011</v>
      </c>
      <c r="BN352" s="500"/>
      <c r="BO352" s="500"/>
      <c r="BP352" s="500"/>
      <c r="BQ352" s="500"/>
      <c r="BR352" s="500"/>
      <c r="BS352" s="556">
        <f>(BS350+BU349)/2</f>
        <v>1046.0780672139902</v>
      </c>
      <c r="BT352" s="561">
        <f>((BJ349+BF349)/2)*BV354/BV346</f>
        <v>1397.849648810291</v>
      </c>
      <c r="BU352" s="562">
        <f>((BJ350+BJ352/10)/2)*BV354/BV346</f>
        <v>469.40265481716079</v>
      </c>
      <c r="BV352" s="514">
        <f>(BV351+BH355)</f>
        <v>5.1085697138120381</v>
      </c>
      <c r="BW352" s="503"/>
      <c r="BX352" s="502"/>
      <c r="BY352" s="797"/>
      <c r="BZ352" s="797"/>
      <c r="CA352" s="797"/>
      <c r="CB352" s="797"/>
      <c r="CC352" s="797"/>
      <c r="CD352" s="797"/>
      <c r="CE352" s="797"/>
      <c r="CF352" s="797"/>
      <c r="CG352" s="797"/>
      <c r="CH352" s="797"/>
      <c r="CI352" s="797"/>
      <c r="CJ352" s="797"/>
      <c r="CK352" s="797"/>
      <c r="CL352" s="797"/>
      <c r="CM352" s="797"/>
      <c r="CN352" s="797"/>
      <c r="CO352" s="797"/>
      <c r="CP352" s="797"/>
      <c r="CQ352" s="797"/>
      <c r="CR352" s="797"/>
      <c r="CS352" s="797"/>
      <c r="CT352" s="797"/>
      <c r="CU352" s="797"/>
    </row>
    <row r="353" spans="1:99" x14ac:dyDescent="0.25">
      <c r="A353" s="163">
        <f>(A341*-1)+A348</f>
        <v>-79.617714179640984</v>
      </c>
      <c r="B353" s="163">
        <f>(A354*-1)+A353</f>
        <v>-7.474669137959097</v>
      </c>
      <c r="C353" s="163">
        <f>(B353/2)+A341</f>
        <v>0</v>
      </c>
      <c r="D353" s="154"/>
      <c r="E353" s="163">
        <f>(C353*A341)+D346</f>
        <v>7.8399958479628467</v>
      </c>
      <c r="F353" s="396">
        <f>A349*Q354/Q354</f>
        <v>148.18204868017497</v>
      </c>
      <c r="G353" s="396">
        <f>(E353+F353)</f>
        <v>156.02204452813783</v>
      </c>
      <c r="H353" s="418">
        <f>(O354+H351)/2</f>
        <v>1552.1981333851659</v>
      </c>
      <c r="I353" s="403"/>
      <c r="J353" s="403"/>
      <c r="K353" s="403"/>
      <c r="L353" s="403"/>
      <c r="M353" s="403"/>
      <c r="N353" s="419">
        <f>(O350+H350+O350)/3</f>
        <v>1381.1773284312633</v>
      </c>
      <c r="O353" s="408">
        <f>((B344+E352)/2)*Q354/Q346</f>
        <v>654.22171443586103</v>
      </c>
      <c r="P353" s="420">
        <f>D349*Q354/Q346</f>
        <v>1279.1706283462565</v>
      </c>
      <c r="Q353" s="164">
        <f>((Q352*Q351*C355*-1)*Q354*Q343*Q344)*0.51</f>
        <v>49.479220486189519</v>
      </c>
      <c r="R353" s="152"/>
      <c r="S353" s="151"/>
      <c r="T353" s="163">
        <f>(T341*-1)+T348</f>
        <v>-80.049414233844573</v>
      </c>
      <c r="U353" s="163">
        <f>(T354*-1)+T353</f>
        <v>-5.9998854559898973</v>
      </c>
      <c r="V353" s="163">
        <f>(U353/2)+T341</f>
        <v>0</v>
      </c>
      <c r="W353" s="154"/>
      <c r="X353" s="163">
        <f>(V353*T341)+W346</f>
        <v>7.5036774315358166</v>
      </c>
      <c r="Y353" s="191">
        <f>T349*AJ354/AJ354</f>
        <v>147.26191503864325</v>
      </c>
      <c r="Z353" s="191">
        <f>(X353+Y353)</f>
        <v>154.76559247017906</v>
      </c>
      <c r="AA353" s="149">
        <f>(AH354+AA351)/2</f>
        <v>1551.6936936725394</v>
      </c>
      <c r="AB353" s="149"/>
      <c r="AC353" s="149"/>
      <c r="AD353" s="149"/>
      <c r="AE353" s="149"/>
      <c r="AF353" s="149"/>
      <c r="AG353" s="421">
        <f>(AH350+AA350+AH350)/3</f>
        <v>1383.2071695146306</v>
      </c>
      <c r="AH353" s="212">
        <f>((U344+X352)/2)*AJ354/AJ346</f>
        <v>657.54055513150558</v>
      </c>
      <c r="AI353" s="213">
        <f>W349*AJ354/AJ346</f>
        <v>1281.2254517110596</v>
      </c>
      <c r="AJ353" s="164">
        <f>((AJ352*AJ351*V355*-1)*AJ354*AJ343*AJ344)*0.51</f>
        <v>37.872315896392166</v>
      </c>
      <c r="AK353" s="152"/>
      <c r="AL353" s="151"/>
      <c r="AM353" s="514">
        <f>(AM341*-1)+AM348</f>
        <v>-80.232769508350884</v>
      </c>
      <c r="AN353" s="514">
        <f>(AM354*-1)+AM353</f>
        <v>-7.1389943873172115</v>
      </c>
      <c r="AO353" s="514">
        <f>(AN353/2)+AM341</f>
        <v>0</v>
      </c>
      <c r="AP353" s="505"/>
      <c r="AQ353" s="514">
        <f>(AO353*AM341)+AP346</f>
        <v>7.8022063099556185</v>
      </c>
      <c r="AR353" s="717">
        <f>AM349*BC354/BC354</f>
        <v>148.13059132782533</v>
      </c>
      <c r="AS353" s="717">
        <f>(AQ353+AR353)</f>
        <v>155.93279763778094</v>
      </c>
      <c r="AT353" s="738">
        <f>(BA354+AT351)/2</f>
        <v>1233.9904983909753</v>
      </c>
      <c r="AU353" s="724"/>
      <c r="AV353" s="724"/>
      <c r="AW353" s="724"/>
      <c r="AX353" s="724"/>
      <c r="AY353" s="724"/>
      <c r="AZ353" s="739">
        <f>(BA350+AT350+BA350)/3</f>
        <v>1098.6723178505306</v>
      </c>
      <c r="BA353" s="729">
        <f>((AN344+AQ352)/2)*BC354/BC346</f>
        <v>520.80123415304513</v>
      </c>
      <c r="BB353" s="740">
        <f>AP349*BC354/BC346</f>
        <v>1017.3079791066098</v>
      </c>
      <c r="BC353" s="515">
        <f>((BC352*BC351*AO355*-1)*BC354*BC343*BC344)*0.51</f>
        <v>205.49241593552171</v>
      </c>
      <c r="BD353" s="503"/>
      <c r="BE353" s="502"/>
      <c r="BF353" s="514">
        <f>(BF341*-1)+BF348</f>
        <v>-78.868924675607559</v>
      </c>
      <c r="BG353" s="514">
        <f>(BF354*-1)+BF353</f>
        <v>-6.7092497335861481</v>
      </c>
      <c r="BH353" s="514">
        <f>(BG353/2)+BF341</f>
        <v>0</v>
      </c>
      <c r="BI353" s="505"/>
      <c r="BJ353" s="514">
        <f>(BH353*BF341)+BI346</f>
        <v>7.5924817840671039</v>
      </c>
      <c r="BK353" s="542">
        <f>BF349*BV354/BV354</f>
        <v>147.40628163668214</v>
      </c>
      <c r="BL353" s="542">
        <f>(BJ353+BK353)</f>
        <v>154.99876342074924</v>
      </c>
      <c r="BM353" s="500">
        <f>(BT354+BM351)/2</f>
        <v>1233.9535428247707</v>
      </c>
      <c r="BN353" s="500"/>
      <c r="BO353" s="500"/>
      <c r="BP353" s="500"/>
      <c r="BQ353" s="500"/>
      <c r="BR353" s="500"/>
      <c r="BS353" s="741">
        <f>(BT350+BM350+BT350)/3</f>
        <v>1098.5258368253044</v>
      </c>
      <c r="BT353" s="561">
        <f>((BG344+BJ352)/2)*BV354/BV346</f>
        <v>521.37794115170857</v>
      </c>
      <c r="BU353" s="562">
        <f>BI349*BV354/BV346</f>
        <v>1017.9480527994099</v>
      </c>
      <c r="BV353" s="515">
        <f>((BV352*BV351*BH355*-1)*BV354*BV343*BV344)*0.51</f>
        <v>79.768563558549872</v>
      </c>
      <c r="BW353" s="503"/>
      <c r="BX353" s="502"/>
      <c r="BY353" s="797"/>
      <c r="BZ353" s="797"/>
      <c r="CA353" s="797"/>
      <c r="CB353" s="797"/>
      <c r="CC353" s="797"/>
      <c r="CD353" s="797"/>
      <c r="CE353" s="797"/>
      <c r="CF353" s="797"/>
      <c r="CG353" s="797"/>
      <c r="CH353" s="797"/>
      <c r="CI353" s="797"/>
      <c r="CJ353" s="797"/>
      <c r="CK353" s="797"/>
      <c r="CL353" s="797"/>
      <c r="CM353" s="797"/>
      <c r="CN353" s="797"/>
      <c r="CO353" s="797"/>
      <c r="CP353" s="797"/>
      <c r="CQ353" s="797"/>
      <c r="CR353" s="797"/>
      <c r="CS353" s="797"/>
      <c r="CT353" s="797"/>
      <c r="CU353" s="797"/>
    </row>
    <row r="354" spans="1:99" x14ac:dyDescent="0.25">
      <c r="A354" s="163">
        <f>A341+A348</f>
        <v>-72.143045041681887</v>
      </c>
      <c r="B354" s="163">
        <f>(A355+(A353*-1)+A354)</f>
        <v>-144.28609008336377</v>
      </c>
      <c r="C354" s="154">
        <f>(B354/10)</f>
        <v>-14.428609008336377</v>
      </c>
      <c r="D354" s="154"/>
      <c r="E354" s="154">
        <f>((D350+B351)/2)*Q354</f>
        <v>1298.9857796136216</v>
      </c>
      <c r="F354" s="187">
        <f>((E349+B351)/2)*Q354/Q346</f>
        <v>1649.3484304742124</v>
      </c>
      <c r="G354" s="403"/>
      <c r="H354" s="403">
        <f>(Q355/2)</f>
        <v>593.76543497071646</v>
      </c>
      <c r="I354" s="403"/>
      <c r="J354" s="403"/>
      <c r="K354" s="403"/>
      <c r="L354" s="403"/>
      <c r="M354" s="403"/>
      <c r="N354" s="396">
        <f>(Q355/2)/Q346</f>
        <v>659.7393721896849</v>
      </c>
      <c r="O354" s="422">
        <f>E349*Q354/Q346</f>
        <v>2644.4596757630707</v>
      </c>
      <c r="P354" s="409">
        <f>((B341+A344)/2)*Q354/Q346</f>
        <v>1357.9321704117158</v>
      </c>
      <c r="Q354" s="322">
        <f>ROUND(O347,N355)</f>
        <v>5.3</v>
      </c>
      <c r="R354" s="247">
        <f>(P349+P351)/2</f>
        <v>1113.6715713359408</v>
      </c>
      <c r="S354" s="151"/>
      <c r="T354" s="163">
        <f>T341+T348</f>
        <v>-74.049528777854675</v>
      </c>
      <c r="U354" s="163">
        <f>(T355+(T353*-1)+T354)</f>
        <v>-148.09905755570935</v>
      </c>
      <c r="V354" s="154">
        <f>(U354/10)</f>
        <v>-14.809905755570934</v>
      </c>
      <c r="W354" s="154"/>
      <c r="X354" s="154">
        <f>((W350+U351)/2)*AJ354</f>
        <v>735.71520648132105</v>
      </c>
      <c r="Y354" s="149">
        <f>((X349+U351)/2)*AJ354/AJ346</f>
        <v>1649.3484304742124</v>
      </c>
      <c r="Z354" s="149"/>
      <c r="AA354" s="149">
        <f>(AJ355/2)</f>
        <v>336.46707981673933</v>
      </c>
      <c r="AB354" s="149"/>
      <c r="AC354" s="149"/>
      <c r="AD354" s="149"/>
      <c r="AE354" s="149"/>
      <c r="AF354" s="149"/>
      <c r="AG354" s="191">
        <f>(AJ355/2)/AJ346</f>
        <v>659.7393721896849</v>
      </c>
      <c r="AH354" s="423">
        <f>X349*AJ354/AJ346</f>
        <v>2643.3691692410853</v>
      </c>
      <c r="AI354" s="213">
        <f>((U341+T344)/2)*AJ354/AJ346</f>
        <v>1359.2119614524531</v>
      </c>
      <c r="AJ354" s="322">
        <f>ROUND(AH347,AG355)</f>
        <v>3</v>
      </c>
      <c r="AK354" s="247">
        <f>(AI349+AI351)/2</f>
        <v>1114.8434317197755</v>
      </c>
      <c r="AL354" s="151"/>
      <c r="AM354" s="514">
        <f>AM341+AM348</f>
        <v>-73.093775121033673</v>
      </c>
      <c r="AN354" s="514">
        <f>(AM355+(AM353*-1)+AM354)</f>
        <v>-146.18755024206735</v>
      </c>
      <c r="AO354" s="505">
        <f>(AN354/10)</f>
        <v>-14.618755024206735</v>
      </c>
      <c r="AP354" s="505"/>
      <c r="AQ354" s="505">
        <f>((AP350+AN351)/2)*BC354</f>
        <v>1032.3794170440872</v>
      </c>
      <c r="AR354" s="538">
        <f>((AQ349+AN351)/2)*BC354/BC346</f>
        <v>1311.297537914686</v>
      </c>
      <c r="AS354" s="724"/>
      <c r="AT354" s="724">
        <f>(BC355/2)</f>
        <v>472.06711364928697</v>
      </c>
      <c r="AU354" s="724"/>
      <c r="AV354" s="724"/>
      <c r="AW354" s="724"/>
      <c r="AX354" s="724"/>
      <c r="AY354" s="724"/>
      <c r="AZ354" s="717">
        <f>(BC355/2)/BC346</f>
        <v>524.51901516587441</v>
      </c>
      <c r="BA354" s="742">
        <f>AQ349*BC354/BC346</f>
        <v>2102.2404740560992</v>
      </c>
      <c r="BB354" s="730">
        <f>((AN341+AM344)/2)*BC354/BC346</f>
        <v>1079.9754535990505</v>
      </c>
      <c r="BC354" s="656">
        <f>ROUND(BA347,AZ355)</f>
        <v>4.2</v>
      </c>
      <c r="BD354" s="503">
        <f>(BB349+BB351)/2</f>
        <v>885.59481951080079</v>
      </c>
      <c r="BE354" s="502"/>
      <c r="BF354" s="514">
        <f>BF341+BF348</f>
        <v>-72.159674942021411</v>
      </c>
      <c r="BG354" s="514">
        <f>(BF355+(BF353*-1)+BF354)</f>
        <v>-144.31934988404282</v>
      </c>
      <c r="BH354" s="505">
        <f>(BG354/10)</f>
        <v>-14.431934988404283</v>
      </c>
      <c r="BI354" s="505"/>
      <c r="BJ354" s="505">
        <f>((BI350+BG351)/2)*BV354</f>
        <v>585.33022506127554</v>
      </c>
      <c r="BK354" s="500">
        <f>((BJ349+BG351)/2)*BV354/BV346</f>
        <v>1311.297537914686</v>
      </c>
      <c r="BL354" s="500"/>
      <c r="BM354" s="500">
        <f>(BV355/2)</f>
        <v>267.50469773459594</v>
      </c>
      <c r="BN354" s="500"/>
      <c r="BO354" s="500"/>
      <c r="BP354" s="500"/>
      <c r="BQ354" s="500"/>
      <c r="BR354" s="500"/>
      <c r="BS354" s="542">
        <f>(BV355/2)/BV346</f>
        <v>524.51901516587441</v>
      </c>
      <c r="BT354" s="743">
        <f>BJ349*BV354/BV346</f>
        <v>2102.0226781538422</v>
      </c>
      <c r="BU354" s="562">
        <f>((BG341+BF344)/2)*BV354/BV346</f>
        <v>1079.8865266688779</v>
      </c>
      <c r="BV354" s="656">
        <f>ROUND(BT347,BS355)</f>
        <v>2.4</v>
      </c>
      <c r="BW354" s="503">
        <f>(BU349+BU351)/2</f>
        <v>885.95646589297473</v>
      </c>
      <c r="BX354" s="502"/>
      <c r="BY354" s="797"/>
      <c r="BZ354" s="797"/>
      <c r="CA354" s="797"/>
      <c r="CB354" s="797"/>
      <c r="CC354" s="797"/>
      <c r="CD354" s="797"/>
      <c r="CE354" s="797"/>
      <c r="CF354" s="797"/>
      <c r="CG354" s="797"/>
      <c r="CH354" s="797"/>
      <c r="CI354" s="797"/>
      <c r="CJ354" s="797"/>
      <c r="CK354" s="797"/>
      <c r="CL354" s="797"/>
      <c r="CM354" s="797"/>
      <c r="CN354" s="797"/>
      <c r="CO354" s="797"/>
      <c r="CP354" s="797"/>
      <c r="CQ354" s="797"/>
      <c r="CR354" s="797"/>
      <c r="CS354" s="797"/>
      <c r="CT354" s="797"/>
      <c r="CU354" s="797"/>
    </row>
    <row r="355" spans="1:99" x14ac:dyDescent="0.25">
      <c r="A355" s="191">
        <f>(A353+A354)</f>
        <v>-151.76075922132287</v>
      </c>
      <c r="B355" s="149"/>
      <c r="C355" s="162">
        <f>INT(C348)-C348+N355</f>
        <v>0.11368104853622896</v>
      </c>
      <c r="D355" s="149"/>
      <c r="E355" s="191" t="s">
        <v>53</v>
      </c>
      <c r="F355" s="418">
        <f>((O355+B351+E349)/3)*Q354/Q346</f>
        <v>4094.9603972620448</v>
      </c>
      <c r="G355" s="403"/>
      <c r="H355" s="403">
        <f>ROUND(H354,2)</f>
        <v>593.77</v>
      </c>
      <c r="I355" s="403"/>
      <c r="J355" s="403"/>
      <c r="K355" s="403"/>
      <c r="L355" s="403"/>
      <c r="M355" s="403"/>
      <c r="N355" s="403">
        <v>1</v>
      </c>
      <c r="O355" s="424">
        <f>((B341+B351+E349)/3)*Q354/Q346</f>
        <v>1525.9558297648941</v>
      </c>
      <c r="P355" s="425">
        <f>(Q355/Q354)</f>
        <v>224.06242829083641</v>
      </c>
      <c r="Q355" s="152">
        <f>P341*Q346</f>
        <v>1187.5308699414329</v>
      </c>
      <c r="R355" s="247">
        <f>(F350+P351)/2</f>
        <v>1136.3371512298204</v>
      </c>
      <c r="S355" s="151"/>
      <c r="T355" s="191">
        <f>(T353+T354)</f>
        <v>-154.09894301169925</v>
      </c>
      <c r="U355" s="149"/>
      <c r="V355" s="162">
        <f>INT(V348)-V348+AG355</f>
        <v>0.34248258952024457</v>
      </c>
      <c r="W355" s="149"/>
      <c r="X355" s="191" t="s">
        <v>53</v>
      </c>
      <c r="Y355" s="149">
        <f>((AH355+U351+X349)/3)*AJ354/AJ346</f>
        <v>4092.9788965641701</v>
      </c>
      <c r="Z355" s="149"/>
      <c r="AA355" s="149">
        <f>ROUND(AA354,2)</f>
        <v>336.47</v>
      </c>
      <c r="AB355" s="149"/>
      <c r="AC355" s="149"/>
      <c r="AD355" s="149"/>
      <c r="AE355" s="149"/>
      <c r="AF355" s="149"/>
      <c r="AG355" s="149">
        <v>1</v>
      </c>
      <c r="AH355" s="426">
        <f>((U341+U351+X349)/3)*AJ354/AJ346</f>
        <v>1526.6407708864947</v>
      </c>
      <c r="AI355" s="427">
        <f>(AJ355/AJ354)</f>
        <v>224.31138654449288</v>
      </c>
      <c r="AJ355" s="152">
        <f>AI341*AJ346</f>
        <v>672.93415963347866</v>
      </c>
      <c r="AK355" s="247">
        <f>(Y350+AI351)/2</f>
        <v>1137.4673405577832</v>
      </c>
      <c r="AL355" s="151"/>
      <c r="AM355" s="542">
        <f>(AM353+AM354)</f>
        <v>-153.32654462938456</v>
      </c>
      <c r="AN355" s="500"/>
      <c r="AO355" s="513">
        <f>INT(AO348)-AO348+AZ355</f>
        <v>0.84635449340021651</v>
      </c>
      <c r="AP355" s="500"/>
      <c r="AQ355" s="542" t="s">
        <v>53</v>
      </c>
      <c r="AR355" s="738">
        <f>((BA355+AN351+AQ349)/3)*BC354/BC346</f>
        <v>2761.5554982062254</v>
      </c>
      <c r="AS355" s="724"/>
      <c r="AT355" s="724">
        <f>ROUND(AT354,2)</f>
        <v>472.07</v>
      </c>
      <c r="AU355" s="724"/>
      <c r="AV355" s="724"/>
      <c r="AW355" s="724"/>
      <c r="AX355" s="724"/>
      <c r="AY355" s="724"/>
      <c r="AZ355" s="724">
        <v>1</v>
      </c>
      <c r="BA355" s="744">
        <f>((AN341+AN351+AQ349)/3)*BC354/BC346</f>
        <v>1213.3010183119936</v>
      </c>
      <c r="BB355" s="745">
        <f>(BC355/BC354)</f>
        <v>224.79386364251761</v>
      </c>
      <c r="BC355" s="503">
        <f>BB341*BC346</f>
        <v>944.13422729857393</v>
      </c>
      <c r="BD355" s="503">
        <f>(AR350+BB351)/2</f>
        <v>903.66628951482789</v>
      </c>
      <c r="BE355" s="502"/>
      <c r="BF355" s="542">
        <f>(BF353+BF354)</f>
        <v>-151.02859961762897</v>
      </c>
      <c r="BG355" s="500"/>
      <c r="BH355" s="513">
        <f>INT(BH348)-BH348+BS355</f>
        <v>0.87863896966679356</v>
      </c>
      <c r="BI355" s="500"/>
      <c r="BJ355" s="542" t="s">
        <v>53</v>
      </c>
      <c r="BK355" s="500">
        <f>((BT355+BG351+BJ349)/3)*BV354/BV346</f>
        <v>2777.7503212915071</v>
      </c>
      <c r="BL355" s="500"/>
      <c r="BM355" s="500">
        <f>ROUND(BM354,2)</f>
        <v>267.5</v>
      </c>
      <c r="BN355" s="500"/>
      <c r="BO355" s="500"/>
      <c r="BP355" s="500"/>
      <c r="BQ355" s="500"/>
      <c r="BR355" s="500"/>
      <c r="BS355" s="500">
        <v>1</v>
      </c>
      <c r="BT355" s="746">
        <f>((BG341+BG351+BJ349)/3)*BV354/BV346</f>
        <v>1213.514376209594</v>
      </c>
      <c r="BU355" s="747">
        <f>(BV355/BV354)</f>
        <v>222.92058144549662</v>
      </c>
      <c r="BV355" s="503">
        <f>BU341*BV346</f>
        <v>535.00939546919187</v>
      </c>
      <c r="BW355" s="503">
        <f>(BK350+BU351)/2</f>
        <v>903.84734999300474</v>
      </c>
      <c r="BX355" s="502"/>
      <c r="BY355" s="797"/>
      <c r="BZ355" s="797"/>
      <c r="CA355" s="797"/>
      <c r="CB355" s="797"/>
      <c r="CC355" s="797"/>
      <c r="CD355" s="797"/>
      <c r="CE355" s="797"/>
      <c r="CF355" s="797"/>
      <c r="CG355" s="797"/>
      <c r="CH355" s="797"/>
      <c r="CI355" s="797"/>
      <c r="CJ355" s="797"/>
      <c r="CK355" s="797"/>
      <c r="CL355" s="797"/>
      <c r="CM355" s="797"/>
      <c r="CN355" s="797"/>
      <c r="CO355" s="797"/>
      <c r="CP355" s="797"/>
      <c r="CQ355" s="797"/>
      <c r="CR355" s="797"/>
      <c r="CS355" s="797"/>
      <c r="CT355" s="797"/>
      <c r="CU355" s="797"/>
    </row>
    <row r="356" spans="1:99" x14ac:dyDescent="0.25">
      <c r="A356" s="171"/>
      <c r="B356" s="171"/>
      <c r="C356" s="171"/>
      <c r="D356" s="171"/>
      <c r="E356" s="171"/>
      <c r="F356" s="171"/>
      <c r="G356" s="171"/>
      <c r="H356" s="171"/>
      <c r="I356" s="171"/>
      <c r="J356" s="151"/>
      <c r="K356" s="151"/>
      <c r="L356" s="151"/>
      <c r="M356" s="151"/>
      <c r="N356" s="171"/>
      <c r="O356" s="171"/>
      <c r="P356" s="171" t="s">
        <v>54</v>
      </c>
      <c r="Q356" s="245" t="b">
        <f>IF(R356&gt;0,"M")</f>
        <v>0</v>
      </c>
      <c r="R356" s="245">
        <f>(R360*R358)</f>
        <v>-1</v>
      </c>
      <c r="S356" s="151"/>
      <c r="T356" s="171"/>
      <c r="U356" s="171"/>
      <c r="V356" s="171"/>
      <c r="W356" s="171"/>
      <c r="X356" s="171"/>
      <c r="Y356" s="171"/>
      <c r="Z356" s="171"/>
      <c r="AA356" s="171"/>
      <c r="AB356" s="171"/>
      <c r="AC356" s="151"/>
      <c r="AD356" s="151"/>
      <c r="AE356" s="151"/>
      <c r="AF356" s="151"/>
      <c r="AG356" s="171"/>
      <c r="AH356" s="171"/>
      <c r="AI356" s="171" t="s">
        <v>54</v>
      </c>
      <c r="AJ356" s="245" t="b">
        <f>IF(AK356&gt;0,"M")</f>
        <v>0</v>
      </c>
      <c r="AK356" s="245">
        <f>(AK360*AK358)</f>
        <v>-1</v>
      </c>
      <c r="AL356" s="151"/>
      <c r="AM356" s="502"/>
      <c r="AN356" s="502"/>
      <c r="AO356" s="502"/>
      <c r="AP356" s="502"/>
      <c r="AQ356" s="502"/>
      <c r="AR356" s="502"/>
      <c r="AS356" s="502"/>
      <c r="AT356" s="502"/>
      <c r="AU356" s="502"/>
      <c r="AV356" s="502"/>
      <c r="AW356" s="502"/>
      <c r="AX356" s="502"/>
      <c r="AY356" s="502"/>
      <c r="AZ356" s="502"/>
      <c r="BA356" s="502"/>
      <c r="BB356" s="502" t="s">
        <v>54</v>
      </c>
      <c r="BC356" s="535" t="b">
        <f>IF(BD356&gt;0,"M")</f>
        <v>0</v>
      </c>
      <c r="BD356" s="535">
        <f>(BD360*BD358)</f>
        <v>-1</v>
      </c>
      <c r="BE356" s="502"/>
      <c r="BF356" s="502"/>
      <c r="BG356" s="502"/>
      <c r="BH356" s="502"/>
      <c r="BI356" s="502"/>
      <c r="BJ356" s="502"/>
      <c r="BK356" s="502"/>
      <c r="BL356" s="502"/>
      <c r="BM356" s="502"/>
      <c r="BN356" s="502"/>
      <c r="BO356" s="502"/>
      <c r="BP356" s="502"/>
      <c r="BQ356" s="502"/>
      <c r="BR356" s="502"/>
      <c r="BS356" s="502"/>
      <c r="BT356" s="502"/>
      <c r="BU356" s="502" t="s">
        <v>54</v>
      </c>
      <c r="BV356" s="535" t="b">
        <f>IF(BW356&gt;0,"M")</f>
        <v>0</v>
      </c>
      <c r="BW356" s="535">
        <f>(BW360*BW358)</f>
        <v>-1</v>
      </c>
      <c r="BX356" s="502"/>
      <c r="BY356" s="797"/>
      <c r="BZ356" s="797"/>
      <c r="CA356" s="797"/>
      <c r="CB356" s="797"/>
      <c r="CC356" s="797"/>
      <c r="CD356" s="797"/>
      <c r="CE356" s="797"/>
      <c r="CF356" s="797"/>
      <c r="CG356" s="797"/>
      <c r="CH356" s="797"/>
      <c r="CI356" s="797"/>
      <c r="CJ356" s="797"/>
      <c r="CK356" s="797"/>
      <c r="CL356" s="797"/>
      <c r="CM356" s="797"/>
      <c r="CN356" s="797"/>
      <c r="CO356" s="797"/>
      <c r="CP356" s="797"/>
      <c r="CQ356" s="797"/>
      <c r="CR356" s="797"/>
      <c r="CS356" s="797"/>
      <c r="CT356" s="797"/>
      <c r="CU356" s="797"/>
    </row>
    <row r="357" spans="1:99" x14ac:dyDescent="0.25">
      <c r="A357" s="171"/>
      <c r="B357" s="171"/>
      <c r="C357" s="171"/>
      <c r="D357" s="171"/>
      <c r="E357" s="171"/>
      <c r="F357" s="171"/>
      <c r="G357" s="171"/>
      <c r="H357" s="171"/>
      <c r="I357" s="171"/>
      <c r="J357" s="151"/>
      <c r="K357" s="151"/>
      <c r="L357" s="151"/>
      <c r="M357" s="151"/>
      <c r="N357" s="171"/>
      <c r="O357" s="171"/>
      <c r="P357" s="171"/>
      <c r="Q357" s="245" t="str">
        <f>IF(R360+R361&lt;0,"-M")</f>
        <v>-M</v>
      </c>
      <c r="R357" s="245">
        <f>(R361*R359)</f>
        <v>-1</v>
      </c>
      <c r="S357" s="151"/>
      <c r="T357" s="171"/>
      <c r="U357" s="171"/>
      <c r="V357" s="171"/>
      <c r="W357" s="171"/>
      <c r="X357" s="171"/>
      <c r="Y357" s="171"/>
      <c r="Z357" s="171"/>
      <c r="AA357" s="171"/>
      <c r="AB357" s="171"/>
      <c r="AC357" s="151"/>
      <c r="AD357" s="151"/>
      <c r="AE357" s="151"/>
      <c r="AF357" s="151"/>
      <c r="AG357" s="171"/>
      <c r="AH357" s="171"/>
      <c r="AI357" s="171"/>
      <c r="AJ357" s="245" t="str">
        <f>IF(AK360+AK361&lt;0,"-M")</f>
        <v>-M</v>
      </c>
      <c r="AK357" s="245">
        <f>(AK361*AK359)</f>
        <v>-1</v>
      </c>
      <c r="AL357" s="151"/>
      <c r="AM357" s="502"/>
      <c r="AN357" s="502"/>
      <c r="AO357" s="502"/>
      <c r="AP357" s="502"/>
      <c r="AQ357" s="502"/>
      <c r="AR357" s="502"/>
      <c r="AS357" s="502"/>
      <c r="AT357" s="502"/>
      <c r="AU357" s="502"/>
      <c r="AV357" s="502"/>
      <c r="AW357" s="502"/>
      <c r="AX357" s="502"/>
      <c r="AY357" s="502"/>
      <c r="AZ357" s="502"/>
      <c r="BA357" s="502"/>
      <c r="BB357" s="502"/>
      <c r="BC357" s="535" t="str">
        <f>IF(BD360+BD361&lt;0,"-M")</f>
        <v>-M</v>
      </c>
      <c r="BD357" s="535">
        <f>(BD361*BD359)</f>
        <v>-1</v>
      </c>
      <c r="BE357" s="502"/>
      <c r="BF357" s="502"/>
      <c r="BG357" s="502"/>
      <c r="BH357" s="502"/>
      <c r="BI357" s="502"/>
      <c r="BJ357" s="502"/>
      <c r="BK357" s="502"/>
      <c r="BL357" s="502"/>
      <c r="BM357" s="502"/>
      <c r="BN357" s="502"/>
      <c r="BO357" s="502"/>
      <c r="BP357" s="502"/>
      <c r="BQ357" s="502"/>
      <c r="BR357" s="502"/>
      <c r="BS357" s="502"/>
      <c r="BT357" s="502"/>
      <c r="BU357" s="502"/>
      <c r="BV357" s="535" t="str">
        <f>IF(BW360+BW361&lt;0,"-M")</f>
        <v>-M</v>
      </c>
      <c r="BW357" s="535">
        <f>(BW361*BW359)</f>
        <v>-1</v>
      </c>
      <c r="BX357" s="502"/>
      <c r="BY357" s="797"/>
      <c r="BZ357" s="797"/>
      <c r="CA357" s="797"/>
      <c r="CB357" s="797"/>
      <c r="CC357" s="797"/>
      <c r="CD357" s="797"/>
      <c r="CE357" s="797"/>
      <c r="CF357" s="797"/>
      <c r="CG357" s="797"/>
      <c r="CH357" s="797"/>
      <c r="CI357" s="797"/>
      <c r="CJ357" s="797"/>
      <c r="CK357" s="797"/>
      <c r="CL357" s="797"/>
      <c r="CM357" s="797"/>
      <c r="CN357" s="797"/>
      <c r="CO357" s="797"/>
      <c r="CP357" s="797"/>
      <c r="CQ357" s="797"/>
      <c r="CR357" s="797"/>
      <c r="CS357" s="797"/>
      <c r="CT357" s="797"/>
      <c r="CU357" s="797"/>
    </row>
    <row r="358" spans="1:99" x14ac:dyDescent="0.25">
      <c r="A358" s="171"/>
      <c r="B358" s="171"/>
      <c r="C358" s="171"/>
      <c r="D358" s="171"/>
      <c r="E358" s="171"/>
      <c r="F358" s="171"/>
      <c r="G358" s="171"/>
      <c r="H358" s="171"/>
      <c r="I358" s="171"/>
      <c r="J358" s="151"/>
      <c r="K358" s="151"/>
      <c r="L358" s="151"/>
      <c r="M358" s="151"/>
      <c r="N358" s="171"/>
      <c r="O358" s="171"/>
      <c r="P358" s="171"/>
      <c r="Q358" s="245" t="b">
        <f>IF(R360+R361&gt;0,"+M")</f>
        <v>0</v>
      </c>
      <c r="R358" s="245">
        <f>(P360*O360*N360)</f>
        <v>1</v>
      </c>
      <c r="S358" s="151"/>
      <c r="T358" s="171"/>
      <c r="U358" s="171"/>
      <c r="V358" s="171"/>
      <c r="W358" s="171"/>
      <c r="X358" s="171"/>
      <c r="Y358" s="171"/>
      <c r="Z358" s="171"/>
      <c r="AA358" s="171"/>
      <c r="AB358" s="171"/>
      <c r="AC358" s="151"/>
      <c r="AD358" s="151"/>
      <c r="AE358" s="151"/>
      <c r="AF358" s="151"/>
      <c r="AG358" s="171"/>
      <c r="AH358" s="171"/>
      <c r="AI358" s="171"/>
      <c r="AJ358" s="245" t="b">
        <f>IF(AK360+AK361&gt;0,"+M")</f>
        <v>0</v>
      </c>
      <c r="AK358" s="245">
        <f>(AI360*AH360*AG360)</f>
        <v>1</v>
      </c>
      <c r="AL358" s="151"/>
      <c r="AM358" s="502"/>
      <c r="AN358" s="502"/>
      <c r="AO358" s="502"/>
      <c r="AP358" s="502"/>
      <c r="AQ358" s="502"/>
      <c r="AR358" s="502"/>
      <c r="AS358" s="502"/>
      <c r="AT358" s="502"/>
      <c r="AU358" s="502"/>
      <c r="AV358" s="502"/>
      <c r="AW358" s="502"/>
      <c r="AX358" s="502"/>
      <c r="AY358" s="502"/>
      <c r="AZ358" s="502"/>
      <c r="BA358" s="502"/>
      <c r="BB358" s="502"/>
      <c r="BC358" s="535" t="b">
        <f>IF(BD360+BD361&gt;0,"+M")</f>
        <v>0</v>
      </c>
      <c r="BD358" s="535">
        <f>(BB360*BA360*AZ360)</f>
        <v>1</v>
      </c>
      <c r="BE358" s="502"/>
      <c r="BF358" s="502"/>
      <c r="BG358" s="502"/>
      <c r="BH358" s="502"/>
      <c r="BI358" s="502"/>
      <c r="BJ358" s="502"/>
      <c r="BK358" s="502"/>
      <c r="BL358" s="502"/>
      <c r="BM358" s="502"/>
      <c r="BN358" s="502"/>
      <c r="BO358" s="502"/>
      <c r="BP358" s="502"/>
      <c r="BQ358" s="502"/>
      <c r="BR358" s="502"/>
      <c r="BS358" s="502"/>
      <c r="BT358" s="502"/>
      <c r="BU358" s="502"/>
      <c r="BV358" s="535" t="b">
        <f>IF(BW360+BW361&gt;0,"+M")</f>
        <v>0</v>
      </c>
      <c r="BW358" s="535">
        <f>(BU360*BT360*BS360)</f>
        <v>1</v>
      </c>
      <c r="BX358" s="502"/>
      <c r="BY358" s="797"/>
      <c r="BZ358" s="797"/>
      <c r="CA358" s="797"/>
      <c r="CB358" s="797"/>
      <c r="CC358" s="797"/>
      <c r="CD358" s="797"/>
      <c r="CE358" s="797"/>
      <c r="CF358" s="797"/>
      <c r="CG358" s="797"/>
      <c r="CH358" s="797"/>
      <c r="CI358" s="797"/>
      <c r="CJ358" s="797"/>
      <c r="CK358" s="797"/>
      <c r="CL358" s="797"/>
      <c r="CM358" s="797"/>
      <c r="CN358" s="797"/>
      <c r="CO358" s="797"/>
      <c r="CP358" s="797"/>
      <c r="CQ358" s="797"/>
      <c r="CR358" s="797"/>
      <c r="CS358" s="797"/>
      <c r="CT358" s="797"/>
      <c r="CU358" s="797"/>
    </row>
    <row r="359" spans="1:99" x14ac:dyDescent="0.25">
      <c r="A359" s="245"/>
      <c r="B359" s="171"/>
      <c r="C359" s="245" t="str">
        <f>IF(S361&lt;690," BS ")</f>
        <v xml:space="preserve"> BS </v>
      </c>
      <c r="D359" s="245" t="b">
        <f>IF(S361&gt;3444," MB ")</f>
        <v>0</v>
      </c>
      <c r="E359" s="428">
        <f>P393</f>
        <v>-1</v>
      </c>
      <c r="F359" s="428">
        <f>P368</f>
        <v>-1</v>
      </c>
      <c r="G359" s="429"/>
      <c r="H359" s="428">
        <f>P345</f>
        <v>1</v>
      </c>
      <c r="I359" s="171"/>
      <c r="J359" s="151"/>
      <c r="K359" s="151"/>
      <c r="L359" s="151"/>
      <c r="M359" s="151"/>
      <c r="N359" s="245" t="str">
        <f>IF((M361+M360)=0,"E")</f>
        <v>E</v>
      </c>
      <c r="O359" s="245">
        <f>IF(Q360&gt;0,-1,1)</f>
        <v>1</v>
      </c>
      <c r="P359" s="245">
        <f>IF(Q360&lt;0,1,-1)</f>
        <v>1</v>
      </c>
      <c r="Q359" s="171"/>
      <c r="R359" s="245">
        <f>(P361*O361*N361)</f>
        <v>1</v>
      </c>
      <c r="S359" s="151"/>
      <c r="T359" s="245"/>
      <c r="U359" s="171"/>
      <c r="V359" s="245" t="str">
        <f>IF(AL361&lt;690," BS ")</f>
        <v xml:space="preserve"> BS </v>
      </c>
      <c r="W359" s="245" t="b">
        <f>IF(AL361&gt;3444," MB ")</f>
        <v>0</v>
      </c>
      <c r="X359" s="428">
        <f>AI393</f>
        <v>-1</v>
      </c>
      <c r="Y359" s="428">
        <f>AI368</f>
        <v>-1</v>
      </c>
      <c r="Z359" s="429"/>
      <c r="AA359" s="428">
        <f>AI345</f>
        <v>1</v>
      </c>
      <c r="AB359" s="171"/>
      <c r="AC359" s="151"/>
      <c r="AD359" s="151"/>
      <c r="AE359" s="151"/>
      <c r="AF359" s="151"/>
      <c r="AG359" s="245" t="str">
        <f>IF((AF361+AF360)=0,"E")</f>
        <v>E</v>
      </c>
      <c r="AH359" s="245">
        <f>IF(AJ360&gt;0,-1,1)</f>
        <v>1</v>
      </c>
      <c r="AI359" s="245">
        <f>IF(AJ360&lt;0,1,-1)</f>
        <v>1</v>
      </c>
      <c r="AJ359" s="171"/>
      <c r="AK359" s="245">
        <f>(AI361*AH361*AG361)</f>
        <v>1</v>
      </c>
      <c r="AL359" s="151"/>
      <c r="AM359" s="535"/>
      <c r="AN359" s="502"/>
      <c r="AO359" s="535" t="str">
        <f>IF(BE361&lt;690," BS ")</f>
        <v xml:space="preserve"> BS </v>
      </c>
      <c r="AP359" s="535" t="b">
        <f>IF(BE361&gt;3444," MB ")</f>
        <v>0</v>
      </c>
      <c r="AQ359" s="748">
        <f>BB393</f>
        <v>-1</v>
      </c>
      <c r="AR359" s="748">
        <f>BB368</f>
        <v>-1</v>
      </c>
      <c r="AS359" s="749"/>
      <c r="AT359" s="748">
        <f>BB345</f>
        <v>1</v>
      </c>
      <c r="AU359" s="502"/>
      <c r="AV359" s="502"/>
      <c r="AW359" s="502"/>
      <c r="AX359" s="502"/>
      <c r="AY359" s="502"/>
      <c r="AZ359" s="535" t="str">
        <f>IF((AY361+AY360)=0,"E")</f>
        <v>E</v>
      </c>
      <c r="BA359" s="535">
        <f>IF(BC360&gt;0,-1,1)</f>
        <v>1</v>
      </c>
      <c r="BB359" s="535">
        <f>IF(BC360&lt;0,1,-1)</f>
        <v>1</v>
      </c>
      <c r="BC359" s="502"/>
      <c r="BD359" s="535">
        <f>(BB361*BA361*AZ361)</f>
        <v>1</v>
      </c>
      <c r="BE359" s="502"/>
      <c r="BF359" s="535"/>
      <c r="BG359" s="502"/>
      <c r="BH359" s="535" t="str">
        <f>IF(BX361&lt;690," BS ")</f>
        <v xml:space="preserve"> BS </v>
      </c>
      <c r="BI359" s="535" t="b">
        <f>IF(BX361&gt;3444," MB ")</f>
        <v>0</v>
      </c>
      <c r="BJ359" s="748">
        <f>BU393</f>
        <v>-1</v>
      </c>
      <c r="BK359" s="748">
        <f>BU368</f>
        <v>-1</v>
      </c>
      <c r="BL359" s="749"/>
      <c r="BM359" s="748">
        <f>BU345</f>
        <v>1</v>
      </c>
      <c r="BN359" s="502"/>
      <c r="BO359" s="502"/>
      <c r="BP359" s="502"/>
      <c r="BQ359" s="502"/>
      <c r="BR359" s="502"/>
      <c r="BS359" s="535" t="str">
        <f>IF((BR361+BR360)=0,"E")</f>
        <v>E</v>
      </c>
      <c r="BT359" s="535">
        <f>IF(BV360&gt;0,-1,1)</f>
        <v>1</v>
      </c>
      <c r="BU359" s="535">
        <f>IF(BV360&lt;0,1,-1)</f>
        <v>1</v>
      </c>
      <c r="BV359" s="502"/>
      <c r="BW359" s="535">
        <f>(BU361*BT361*BS361)</f>
        <v>1</v>
      </c>
      <c r="BX359" s="502"/>
      <c r="BY359" s="797"/>
      <c r="BZ359" s="797"/>
      <c r="CA359" s="797"/>
      <c r="CB359" s="797"/>
      <c r="CC359" s="797"/>
      <c r="CD359" s="797"/>
      <c r="CE359" s="797"/>
      <c r="CF359" s="797"/>
      <c r="CG359" s="797"/>
      <c r="CH359" s="797"/>
      <c r="CI359" s="797"/>
      <c r="CJ359" s="797"/>
      <c r="CK359" s="797"/>
      <c r="CL359" s="797"/>
      <c r="CM359" s="797"/>
      <c r="CN359" s="797"/>
      <c r="CO359" s="797"/>
      <c r="CP359" s="797"/>
      <c r="CQ359" s="797"/>
      <c r="CR359" s="797"/>
      <c r="CS359" s="797"/>
      <c r="CT359" s="797"/>
      <c r="CU359" s="797"/>
    </row>
    <row r="360" spans="1:99" x14ac:dyDescent="0.25">
      <c r="A360" s="171"/>
      <c r="B360" s="171"/>
      <c r="C360" s="245" t="b">
        <f>IF(S361&gt;690," AS ")</f>
        <v>0</v>
      </c>
      <c r="D360" s="171"/>
      <c r="E360" s="152">
        <f>P391</f>
        <v>1</v>
      </c>
      <c r="F360" s="152">
        <f>P366</f>
        <v>1</v>
      </c>
      <c r="G360" s="245"/>
      <c r="H360" s="152">
        <f>P343</f>
        <v>-1</v>
      </c>
      <c r="I360" s="171"/>
      <c r="J360" s="151"/>
      <c r="K360" s="151"/>
      <c r="L360" s="151"/>
      <c r="M360" s="246"/>
      <c r="N360" s="247">
        <f>O392</f>
        <v>-1</v>
      </c>
      <c r="O360" s="247">
        <f>O367</f>
        <v>-1</v>
      </c>
      <c r="P360" s="247">
        <f>(O345)</f>
        <v>1</v>
      </c>
      <c r="Q360" s="248">
        <f>(Q353+Q376+Q401)</f>
        <v>-2436.3538741324164</v>
      </c>
      <c r="R360" s="249">
        <f>(P360+O360+N360)</f>
        <v>-1</v>
      </c>
      <c r="S360" s="244">
        <f>INT(R360)+R360</f>
        <v>-2</v>
      </c>
      <c r="T360" s="171"/>
      <c r="U360" s="171"/>
      <c r="V360" s="245" t="b">
        <f>IF(AL361&gt;690," AS ")</f>
        <v>0</v>
      </c>
      <c r="W360" s="171"/>
      <c r="X360" s="152">
        <f>AI391</f>
        <v>1</v>
      </c>
      <c r="Y360" s="152">
        <f>AI366</f>
        <v>1</v>
      </c>
      <c r="Z360" s="245"/>
      <c r="AA360" s="152">
        <f>AI343</f>
        <v>-1</v>
      </c>
      <c r="AB360" s="171"/>
      <c r="AC360" s="151"/>
      <c r="AD360" s="151"/>
      <c r="AE360" s="151"/>
      <c r="AF360" s="246"/>
      <c r="AG360" s="247">
        <f>AH392</f>
        <v>-1</v>
      </c>
      <c r="AH360" s="247">
        <f>AH367</f>
        <v>-1</v>
      </c>
      <c r="AI360" s="247">
        <f>(AH345)</f>
        <v>1</v>
      </c>
      <c r="AJ360" s="248">
        <f>(AJ353+AJ376+AJ401)</f>
        <v>-1200.4815655483912</v>
      </c>
      <c r="AK360" s="249">
        <f>(AI360+AH360+AG360)</f>
        <v>-1</v>
      </c>
      <c r="AL360" s="244">
        <f>INT(AK360)+AK360</f>
        <v>-2</v>
      </c>
      <c r="AM360" s="502"/>
      <c r="AN360" s="502"/>
      <c r="AO360" s="535" t="b">
        <f>IF(BE361&gt;690," AS ")</f>
        <v>0</v>
      </c>
      <c r="AP360" s="502"/>
      <c r="AQ360" s="503">
        <f>BB391</f>
        <v>1</v>
      </c>
      <c r="AR360" s="503">
        <f>BB366</f>
        <v>1</v>
      </c>
      <c r="AS360" s="535"/>
      <c r="AT360" s="503">
        <f>BB343</f>
        <v>-1</v>
      </c>
      <c r="AU360" s="502"/>
      <c r="AV360" s="502"/>
      <c r="AW360" s="502"/>
      <c r="AX360" s="502"/>
      <c r="AY360" s="512"/>
      <c r="AZ360" s="503">
        <f>BA392</f>
        <v>-1</v>
      </c>
      <c r="BA360" s="503">
        <f>BA367</f>
        <v>-1</v>
      </c>
      <c r="BB360" s="503">
        <f>(BA345)</f>
        <v>1</v>
      </c>
      <c r="BC360" s="590">
        <f>(BC353+BC376+BC401)</f>
        <v>-1855.2219752928015</v>
      </c>
      <c r="BD360" s="591">
        <f>(BB360+BA360+AZ360)</f>
        <v>-1</v>
      </c>
      <c r="BE360" s="590">
        <f>INT(BD360)+BD360</f>
        <v>-2</v>
      </c>
      <c r="BF360" s="502"/>
      <c r="BG360" s="502"/>
      <c r="BH360" s="535" t="b">
        <f>IF(BX361&gt;690," AS ")</f>
        <v>0</v>
      </c>
      <c r="BI360" s="502"/>
      <c r="BJ360" s="503">
        <f>BU391</f>
        <v>1</v>
      </c>
      <c r="BK360" s="503">
        <f>BU366</f>
        <v>1</v>
      </c>
      <c r="BL360" s="535"/>
      <c r="BM360" s="503">
        <f>BU343</f>
        <v>-1</v>
      </c>
      <c r="BN360" s="502"/>
      <c r="BO360" s="502"/>
      <c r="BP360" s="502"/>
      <c r="BQ360" s="502"/>
      <c r="BR360" s="512"/>
      <c r="BS360" s="503">
        <f>BT392</f>
        <v>-1</v>
      </c>
      <c r="BT360" s="503">
        <f>BT367</f>
        <v>-1</v>
      </c>
      <c r="BU360" s="503">
        <f>(BT345)</f>
        <v>1</v>
      </c>
      <c r="BV360" s="590">
        <f>(BV353+BV376+BV401)</f>
        <v>-989.72723028019766</v>
      </c>
      <c r="BW360" s="591">
        <f>(BU360+BT360+BS360)</f>
        <v>-1</v>
      </c>
      <c r="BX360" s="590">
        <f>INT(BW360)+BW360</f>
        <v>-2</v>
      </c>
      <c r="BY360" s="797"/>
      <c r="BZ360" s="797"/>
      <c r="CA360" s="797"/>
      <c r="CB360" s="797"/>
      <c r="CC360" s="797"/>
      <c r="CD360" s="797"/>
      <c r="CE360" s="797"/>
      <c r="CF360" s="797"/>
      <c r="CG360" s="797"/>
      <c r="CH360" s="797"/>
      <c r="CI360" s="797"/>
      <c r="CJ360" s="797"/>
      <c r="CK360" s="797"/>
      <c r="CL360" s="797"/>
      <c r="CM360" s="797"/>
      <c r="CN360" s="797"/>
      <c r="CO360" s="797"/>
      <c r="CP360" s="797"/>
      <c r="CQ360" s="797"/>
      <c r="CR360" s="797"/>
      <c r="CS360" s="797"/>
      <c r="CT360" s="797"/>
      <c r="CU360" s="797"/>
    </row>
    <row r="361" spans="1:99" x14ac:dyDescent="0.25">
      <c r="A361" s="171"/>
      <c r="B361" s="171"/>
      <c r="C361" s="245" t="b">
        <f>IF(S361=0," F ")</f>
        <v>0</v>
      </c>
      <c r="D361" s="171"/>
      <c r="E361" s="152">
        <f>P394</f>
        <v>-1</v>
      </c>
      <c r="F361" s="152">
        <f>P369</f>
        <v>-1</v>
      </c>
      <c r="G361" s="245"/>
      <c r="H361" s="152">
        <f>P346</f>
        <v>-1</v>
      </c>
      <c r="I361" s="171"/>
      <c r="J361" s="151"/>
      <c r="K361" s="151"/>
      <c r="L361" s="151"/>
      <c r="M361" s="246"/>
      <c r="N361" s="247">
        <f>O393</f>
        <v>-1</v>
      </c>
      <c r="O361" s="247">
        <f>O368</f>
        <v>-1</v>
      </c>
      <c r="P361" s="247">
        <f>O344</f>
        <v>1</v>
      </c>
      <c r="Q361" s="245" t="b">
        <f>IF(Q360&gt;0,Q362)</f>
        <v>0</v>
      </c>
      <c r="R361" s="250">
        <f>(P361+O361+N361)</f>
        <v>-1</v>
      </c>
      <c r="S361" s="244">
        <f>(S360^8)</f>
        <v>256</v>
      </c>
      <c r="T361" s="171"/>
      <c r="U361" s="171"/>
      <c r="V361" s="245" t="b">
        <f>IF(AL361=0," F ")</f>
        <v>0</v>
      </c>
      <c r="W361" s="171"/>
      <c r="X361" s="152">
        <f>AI394</f>
        <v>-1</v>
      </c>
      <c r="Y361" s="152">
        <f>AI369</f>
        <v>-1</v>
      </c>
      <c r="Z361" s="245"/>
      <c r="AA361" s="152">
        <f>AI346</f>
        <v>-1</v>
      </c>
      <c r="AB361" s="171"/>
      <c r="AC361" s="151"/>
      <c r="AD361" s="151"/>
      <c r="AE361" s="151"/>
      <c r="AF361" s="246"/>
      <c r="AG361" s="247">
        <f>AH393</f>
        <v>-1</v>
      </c>
      <c r="AH361" s="247">
        <f>AH368</f>
        <v>-1</v>
      </c>
      <c r="AI361" s="247">
        <f>AH344</f>
        <v>1</v>
      </c>
      <c r="AJ361" s="245" t="b">
        <f>IF(AJ360&gt;0,AJ362)</f>
        <v>0</v>
      </c>
      <c r="AK361" s="250">
        <f>(AI361+AH361+AG361)</f>
        <v>-1</v>
      </c>
      <c r="AL361" s="244">
        <f>(AL360^8)</f>
        <v>256</v>
      </c>
      <c r="AM361" s="502"/>
      <c r="AN361" s="502"/>
      <c r="AO361" s="535" t="b">
        <f>IF(BE361=0," F ")</f>
        <v>0</v>
      </c>
      <c r="AP361" s="502"/>
      <c r="AQ361" s="503">
        <f>BB394</f>
        <v>-1</v>
      </c>
      <c r="AR361" s="503">
        <f>BB369</f>
        <v>-1</v>
      </c>
      <c r="AS361" s="535"/>
      <c r="AT361" s="503">
        <f>BB346</f>
        <v>-1</v>
      </c>
      <c r="AU361" s="502"/>
      <c r="AV361" s="502"/>
      <c r="AW361" s="502"/>
      <c r="AX361" s="502"/>
      <c r="AY361" s="512"/>
      <c r="AZ361" s="503">
        <f>BA393</f>
        <v>-1</v>
      </c>
      <c r="BA361" s="503">
        <f>BA368</f>
        <v>-1</v>
      </c>
      <c r="BB361" s="503">
        <f>BA344</f>
        <v>1</v>
      </c>
      <c r="BC361" s="535" t="b">
        <f>IF(BC360&gt;0,BC362)</f>
        <v>0</v>
      </c>
      <c r="BD361" s="592">
        <f>(BB361+BA361+AZ361)</f>
        <v>-1</v>
      </c>
      <c r="BE361" s="590">
        <f>(BE360^8)</f>
        <v>256</v>
      </c>
      <c r="BF361" s="502"/>
      <c r="BG361" s="502"/>
      <c r="BH361" s="535" t="b">
        <f>IF(BX361=0," F ")</f>
        <v>0</v>
      </c>
      <c r="BI361" s="502"/>
      <c r="BJ361" s="503">
        <f>BU394</f>
        <v>-1</v>
      </c>
      <c r="BK361" s="503">
        <f>BU369</f>
        <v>-1</v>
      </c>
      <c r="BL361" s="535"/>
      <c r="BM361" s="503">
        <f>BU346</f>
        <v>-1</v>
      </c>
      <c r="BN361" s="502"/>
      <c r="BO361" s="502"/>
      <c r="BP361" s="502"/>
      <c r="BQ361" s="502"/>
      <c r="BR361" s="512"/>
      <c r="BS361" s="503">
        <f>BT393</f>
        <v>-1</v>
      </c>
      <c r="BT361" s="503">
        <f>BT368</f>
        <v>-1</v>
      </c>
      <c r="BU361" s="503">
        <f>BT344</f>
        <v>1</v>
      </c>
      <c r="BV361" s="535" t="b">
        <f>IF(BV360&gt;0,BV362)</f>
        <v>0</v>
      </c>
      <c r="BW361" s="592">
        <f>(BU361+BT361+BS361)</f>
        <v>-1</v>
      </c>
      <c r="BX361" s="590">
        <f>(BX360^8)</f>
        <v>256</v>
      </c>
      <c r="BY361" s="797"/>
      <c r="BZ361" s="797"/>
      <c r="CA361" s="797"/>
      <c r="CB361" s="797"/>
      <c r="CC361" s="797"/>
      <c r="CD361" s="797"/>
      <c r="CE361" s="797"/>
      <c r="CF361" s="797"/>
      <c r="CG361" s="797"/>
      <c r="CH361" s="797"/>
      <c r="CI361" s="797"/>
      <c r="CJ361" s="797"/>
      <c r="CK361" s="797"/>
      <c r="CL361" s="797"/>
      <c r="CM361" s="797"/>
      <c r="CN361" s="797"/>
      <c r="CO361" s="797"/>
      <c r="CP361" s="797"/>
      <c r="CQ361" s="797"/>
      <c r="CR361" s="797"/>
      <c r="CS361" s="797"/>
      <c r="CT361" s="797"/>
      <c r="CU361" s="797"/>
    </row>
    <row r="362" spans="1:99" x14ac:dyDescent="0.25">
      <c r="A362" s="171"/>
      <c r="B362" s="171"/>
      <c r="C362" s="245" t="b">
        <f>IF(S361&gt;1797," UB ")</f>
        <v>0</v>
      </c>
      <c r="D362" s="171"/>
      <c r="E362" s="258">
        <f>P392</f>
        <v>1</v>
      </c>
      <c r="F362" s="258">
        <f>P367</f>
        <v>1</v>
      </c>
      <c r="G362" s="259"/>
      <c r="H362" s="258">
        <f>P344</f>
        <v>1</v>
      </c>
      <c r="I362" s="171"/>
      <c r="J362" s="151"/>
      <c r="K362" s="151"/>
      <c r="L362" s="151"/>
      <c r="M362" s="151"/>
      <c r="N362" s="171"/>
      <c r="O362" s="171"/>
      <c r="P362" s="171"/>
      <c r="Q362" s="260">
        <f>-OR340+1</f>
        <v>1</v>
      </c>
      <c r="R362" s="245"/>
      <c r="S362" s="151"/>
      <c r="T362" s="171"/>
      <c r="U362" s="171"/>
      <c r="V362" s="245" t="b">
        <f>IF(AL361&gt;1797," UB ")</f>
        <v>0</v>
      </c>
      <c r="W362" s="171"/>
      <c r="X362" s="258">
        <f>AI392</f>
        <v>1</v>
      </c>
      <c r="Y362" s="258">
        <f>AI367</f>
        <v>1</v>
      </c>
      <c r="Z362" s="259"/>
      <c r="AA362" s="258">
        <f>AI344</f>
        <v>1</v>
      </c>
      <c r="AB362" s="171"/>
      <c r="AC362" s="151"/>
      <c r="AD362" s="151"/>
      <c r="AE362" s="151"/>
      <c r="AF362" s="151"/>
      <c r="AG362" s="171"/>
      <c r="AH362" s="171"/>
      <c r="AI362" s="171"/>
      <c r="AJ362" s="260">
        <f>-PK340+1</f>
        <v>1</v>
      </c>
      <c r="AK362" s="245"/>
      <c r="AL362" s="151"/>
      <c r="AM362" s="502"/>
      <c r="AN362" s="502"/>
      <c r="AO362" s="535" t="b">
        <f>IF(BE361&gt;1797," UB ")</f>
        <v>0</v>
      </c>
      <c r="AP362" s="502"/>
      <c r="AQ362" s="600">
        <f>BB392</f>
        <v>1</v>
      </c>
      <c r="AR362" s="600">
        <f>BB367</f>
        <v>1</v>
      </c>
      <c r="AS362" s="549"/>
      <c r="AT362" s="600">
        <f>BB344</f>
        <v>-1</v>
      </c>
      <c r="AU362" s="502"/>
      <c r="AV362" s="502"/>
      <c r="AW362" s="502"/>
      <c r="AX362" s="502"/>
      <c r="AY362" s="502"/>
      <c r="AZ362" s="502"/>
      <c r="BA362" s="502"/>
      <c r="BB362" s="502"/>
      <c r="BC362" s="601">
        <f>-QD340+1</f>
        <v>1</v>
      </c>
      <c r="BD362" s="535"/>
      <c r="BE362" s="502"/>
      <c r="BF362" s="502"/>
      <c r="BG362" s="502"/>
      <c r="BH362" s="535" t="b">
        <f>IF(BX361&gt;1797," UB ")</f>
        <v>0</v>
      </c>
      <c r="BI362" s="502"/>
      <c r="BJ362" s="600">
        <f>BU392</f>
        <v>1</v>
      </c>
      <c r="BK362" s="600">
        <f>BU367</f>
        <v>1</v>
      </c>
      <c r="BL362" s="549"/>
      <c r="BM362" s="600">
        <f>BU344</f>
        <v>1</v>
      </c>
      <c r="BN362" s="502"/>
      <c r="BO362" s="502"/>
      <c r="BP362" s="502"/>
      <c r="BQ362" s="502"/>
      <c r="BR362" s="502"/>
      <c r="BS362" s="502"/>
      <c r="BT362" s="502"/>
      <c r="BU362" s="502"/>
      <c r="BV362" s="601">
        <f>-QW340+1</f>
        <v>1</v>
      </c>
      <c r="BW362" s="535"/>
      <c r="BX362" s="502"/>
      <c r="BY362" s="797"/>
      <c r="BZ362" s="797"/>
      <c r="CA362" s="797"/>
      <c r="CB362" s="797"/>
      <c r="CC362" s="797"/>
      <c r="CD362" s="797"/>
      <c r="CE362" s="797"/>
      <c r="CF362" s="797"/>
      <c r="CG362" s="797"/>
      <c r="CH362" s="797"/>
      <c r="CI362" s="797"/>
      <c r="CJ362" s="797"/>
      <c r="CK362" s="797"/>
      <c r="CL362" s="797"/>
      <c r="CM362" s="797"/>
      <c r="CN362" s="797"/>
      <c r="CO362" s="797"/>
      <c r="CP362" s="797"/>
      <c r="CQ362" s="797"/>
      <c r="CR362" s="797"/>
      <c r="CS362" s="797"/>
      <c r="CT362" s="797"/>
      <c r="CU362" s="797"/>
    </row>
    <row r="363" spans="1:99" x14ac:dyDescent="0.25">
      <c r="A363" s="152">
        <f>P378</f>
        <v>224.60317666821234</v>
      </c>
      <c r="B363" s="154">
        <f>(A363*10^0.125)</f>
        <v>299.51314981902658</v>
      </c>
      <c r="C363" s="154">
        <f>INT(B363)</f>
        <v>299</v>
      </c>
      <c r="D363" s="154">
        <f>C363*4</f>
        <v>1196</v>
      </c>
      <c r="E363" s="154">
        <f>D363/5</f>
        <v>239.2</v>
      </c>
      <c r="F363" s="149">
        <f>E363^2</f>
        <v>57216.639999999992</v>
      </c>
      <c r="G363" s="149">
        <f>(F363^0.125)</f>
        <v>3.9326952517764404</v>
      </c>
      <c r="H363" s="149">
        <f>G363/3</f>
        <v>1.3108984172588134</v>
      </c>
      <c r="I363" s="149">
        <f>(H363*100)</f>
        <v>131.08984172588134</v>
      </c>
      <c r="J363" s="149">
        <f>(F363/100)</f>
        <v>572.16639999999995</v>
      </c>
      <c r="K363" s="149">
        <f>(J363+I363)/2</f>
        <v>351.62812086294065</v>
      </c>
      <c r="L363" s="149">
        <f>(K363+I363)/2</f>
        <v>241.358981294411</v>
      </c>
      <c r="M363" s="149">
        <f>(L363+A363)/2</f>
        <v>232.98107898131167</v>
      </c>
      <c r="N363" s="149">
        <f>M363*100^0.5</f>
        <v>2329.8107898131166</v>
      </c>
      <c r="O363" s="149">
        <f>INT(N363)/10</f>
        <v>232.9</v>
      </c>
      <c r="P363" s="149">
        <f>(O363)^2/10000</f>
        <v>5.4242410000000003</v>
      </c>
      <c r="Q363" s="149">
        <f>(P363+I363+M363)/3</f>
        <v>123.16505390239767</v>
      </c>
      <c r="R363" s="150">
        <f>Q368^0.5</f>
        <v>36.323259941237922</v>
      </c>
      <c r="S363" s="151"/>
      <c r="T363" s="152">
        <f>AI378</f>
        <v>224.55276069140692</v>
      </c>
      <c r="U363" s="154">
        <f>(T363*10^0.125)</f>
        <v>299.44591903343309</v>
      </c>
      <c r="V363" s="154">
        <f>INT(U363)</f>
        <v>299</v>
      </c>
      <c r="W363" s="154">
        <f>V363*4</f>
        <v>1196</v>
      </c>
      <c r="X363" s="154">
        <f>W363/5</f>
        <v>239.2</v>
      </c>
      <c r="Y363" s="149">
        <f>X363^2</f>
        <v>57216.639999999992</v>
      </c>
      <c r="Z363" s="149">
        <f>(Y363^0.125)</f>
        <v>3.9326952517764404</v>
      </c>
      <c r="AA363" s="149">
        <f>Z363/3</f>
        <v>1.3108984172588134</v>
      </c>
      <c r="AB363" s="149">
        <f>(AA363*100)</f>
        <v>131.08984172588134</v>
      </c>
      <c r="AC363" s="149">
        <f>(Y363/100)</f>
        <v>572.16639999999995</v>
      </c>
      <c r="AD363" s="149">
        <f>(AC363+AB363)/2</f>
        <v>351.62812086294065</v>
      </c>
      <c r="AE363" s="149">
        <f>(AD363+AB363)/2</f>
        <v>241.358981294411</v>
      </c>
      <c r="AF363" s="149">
        <f>(AE363+T363)/2</f>
        <v>232.95587099290896</v>
      </c>
      <c r="AG363" s="149">
        <f>AF363*100^0.5</f>
        <v>2329.5587099290897</v>
      </c>
      <c r="AH363" s="149">
        <f>INT(AG363)/10</f>
        <v>232.9</v>
      </c>
      <c r="AI363" s="149">
        <f>(AH363)^2/10000</f>
        <v>5.4242410000000003</v>
      </c>
      <c r="AJ363" s="149">
        <f>(AI363+AB363+AF363)/3</f>
        <v>123.15665123959677</v>
      </c>
      <c r="AK363" s="150">
        <f>AJ368^0.5</f>
        <v>36.323259941237922</v>
      </c>
      <c r="AL363" s="151"/>
      <c r="AM363" s="503">
        <f>BB378</f>
        <v>224.68692382177258</v>
      </c>
      <c r="AN363" s="505">
        <f>(AM363*10^0.125)</f>
        <v>299.62482844318185</v>
      </c>
      <c r="AO363" s="505">
        <f>INT(AN363)</f>
        <v>299</v>
      </c>
      <c r="AP363" s="505">
        <f>AO363*4</f>
        <v>1196</v>
      </c>
      <c r="AQ363" s="505">
        <f>AP363/5</f>
        <v>239.2</v>
      </c>
      <c r="AR363" s="500">
        <f>AQ363^2</f>
        <v>57216.639999999992</v>
      </c>
      <c r="AS363" s="500">
        <f>(AR363^0.125)</f>
        <v>3.9326952517764404</v>
      </c>
      <c r="AT363" s="500">
        <f>AS363/3</f>
        <v>1.3108984172588134</v>
      </c>
      <c r="AU363" s="500">
        <f>(AT363*100)</f>
        <v>131.08984172588134</v>
      </c>
      <c r="AV363" s="500">
        <f>(AR363/100)</f>
        <v>572.16639999999995</v>
      </c>
      <c r="AW363" s="500">
        <f>(AV363+AU363)/2</f>
        <v>351.62812086294065</v>
      </c>
      <c r="AX363" s="500">
        <f>(AW363+AU363)/2</f>
        <v>241.358981294411</v>
      </c>
      <c r="AY363" s="500">
        <f>(AX363+AM363)/2</f>
        <v>233.02295255809179</v>
      </c>
      <c r="AZ363" s="500">
        <f>AY363*100^0.5</f>
        <v>2330.2295255809177</v>
      </c>
      <c r="BA363" s="500">
        <f>INT(AZ363)/10</f>
        <v>233</v>
      </c>
      <c r="BB363" s="500">
        <f>(BA363)^2/10000</f>
        <v>5.4288999999999996</v>
      </c>
      <c r="BC363" s="500">
        <f>(BB363+AU363+AY363)/3</f>
        <v>123.18056476132438</v>
      </c>
      <c r="BD363" s="501">
        <f>BC368^0.5</f>
        <v>32.451591404174579</v>
      </c>
      <c r="BE363" s="502"/>
      <c r="BF363" s="503">
        <f>BU378</f>
        <v>224.43304029203046</v>
      </c>
      <c r="BG363" s="505">
        <f>(BF363*10^0.125)</f>
        <v>299.28626931499747</v>
      </c>
      <c r="BH363" s="505">
        <f>INT(BG363)</f>
        <v>299</v>
      </c>
      <c r="BI363" s="505">
        <f>BH363*4</f>
        <v>1196</v>
      </c>
      <c r="BJ363" s="505">
        <f>BI363/5</f>
        <v>239.2</v>
      </c>
      <c r="BK363" s="500">
        <f>BJ363^2</f>
        <v>57216.639999999992</v>
      </c>
      <c r="BL363" s="500">
        <f>(BK363^0.125)</f>
        <v>3.9326952517764404</v>
      </c>
      <c r="BM363" s="500">
        <f>BL363/3</f>
        <v>1.3108984172588134</v>
      </c>
      <c r="BN363" s="500">
        <f>(BM363*100)</f>
        <v>131.08984172588134</v>
      </c>
      <c r="BO363" s="500">
        <f>(BK363/100)</f>
        <v>572.16639999999995</v>
      </c>
      <c r="BP363" s="500">
        <f>(BO363+BN363)/2</f>
        <v>351.62812086294065</v>
      </c>
      <c r="BQ363" s="500">
        <f>(BP363+BN363)/2</f>
        <v>241.358981294411</v>
      </c>
      <c r="BR363" s="500">
        <f>(BQ363+BF363)/2</f>
        <v>232.89601079322074</v>
      </c>
      <c r="BS363" s="500">
        <f>BR363*100^0.5</f>
        <v>2328.9601079322074</v>
      </c>
      <c r="BT363" s="500">
        <f>INT(BS363)/10</f>
        <v>232.8</v>
      </c>
      <c r="BU363" s="500">
        <f>(BT363)^2/10000</f>
        <v>5.4195840000000004</v>
      </c>
      <c r="BV363" s="500">
        <f>(BU363+BN363+BR363)/3</f>
        <v>123.13514550636735</v>
      </c>
      <c r="BW363" s="501">
        <f>BV368^0.5</f>
        <v>32.451591404174579</v>
      </c>
      <c r="BX363" s="502"/>
      <c r="BY363" s="797"/>
      <c r="BZ363" s="797"/>
      <c r="CA363" s="797"/>
      <c r="CB363" s="797"/>
      <c r="CC363" s="797"/>
      <c r="CD363" s="797"/>
      <c r="CE363" s="797"/>
      <c r="CF363" s="797"/>
      <c r="CG363" s="797"/>
      <c r="CH363" s="797"/>
      <c r="CI363" s="797"/>
      <c r="CJ363" s="797"/>
      <c r="CK363" s="797"/>
      <c r="CL363" s="797"/>
      <c r="CM363" s="797"/>
      <c r="CN363" s="797"/>
      <c r="CO363" s="797"/>
      <c r="CP363" s="797"/>
      <c r="CQ363" s="797"/>
      <c r="CR363" s="797"/>
      <c r="CS363" s="797"/>
      <c r="CT363" s="797"/>
      <c r="CU363" s="797"/>
    </row>
    <row r="364" spans="1:99" x14ac:dyDescent="0.25">
      <c r="A364" s="163">
        <f>(O365-O364)</f>
        <v>3.3637077963066133</v>
      </c>
      <c r="B364" s="154">
        <f>(B365+A366)/2</f>
        <v>217.91171440976063</v>
      </c>
      <c r="C364" s="164">
        <f>(D366*C366*B366*C365*D365*A364)</f>
        <v>6931930706914.0703</v>
      </c>
      <c r="D364" s="154">
        <f>(C365*C364*A364)</f>
        <v>8132787029.6526718</v>
      </c>
      <c r="E364" s="163">
        <f>INT(A364+1)</f>
        <v>4</v>
      </c>
      <c r="F364" s="165">
        <f>(Q376*-1)</f>
        <v>12.265249681232978</v>
      </c>
      <c r="G364" s="161"/>
      <c r="H364" s="152">
        <f>IF(F364&lt;0,1,-1)</f>
        <v>-1</v>
      </c>
      <c r="I364" s="161"/>
      <c r="J364" s="161"/>
      <c r="K364" s="161"/>
      <c r="L364" s="161"/>
      <c r="M364" s="161"/>
      <c r="N364" s="161">
        <f>(M363+O363)/2</f>
        <v>232.94053949065585</v>
      </c>
      <c r="O364" s="161">
        <f>N364-A363</f>
        <v>8.3373628224435095</v>
      </c>
      <c r="P364" s="161">
        <f>(Q368+R366)/2</f>
        <v>1307.6896063793697</v>
      </c>
      <c r="Q364" s="162">
        <f>(Q367*A364*100)</f>
        <v>46.539897707432935</v>
      </c>
      <c r="R364" s="150">
        <f>INT(R363)</f>
        <v>36</v>
      </c>
      <c r="S364" s="151"/>
      <c r="T364" s="163">
        <f>(AH365-AH364)</f>
        <v>3.2849328325481224</v>
      </c>
      <c r="U364" s="154">
        <f>(U365+T366)/2</f>
        <v>217.90147366447204</v>
      </c>
      <c r="V364" s="164">
        <f>(W366*V366*U366*V365*W365*T364)</f>
        <v>5344913012826.7861</v>
      </c>
      <c r="W364" s="154">
        <f>(V365*V364*T364)</f>
        <v>6477379069.546916</v>
      </c>
      <c r="X364" s="163">
        <f>INT(T364+1)</f>
        <v>4</v>
      </c>
      <c r="Y364" s="165">
        <f>(AJ376*-1)</f>
        <v>18.043691663576595</v>
      </c>
      <c r="Z364" s="161"/>
      <c r="AA364" s="152">
        <f>IF(Y364&lt;0,1,-1)</f>
        <v>-1</v>
      </c>
      <c r="AB364" s="161"/>
      <c r="AC364" s="161"/>
      <c r="AD364" s="161"/>
      <c r="AE364" s="161"/>
      <c r="AF364" s="161"/>
      <c r="AG364" s="161">
        <f>(AF363+AH363)/2</f>
        <v>232.9279354964545</v>
      </c>
      <c r="AH364" s="161">
        <f>AG364-T363</f>
        <v>8.3751748050475783</v>
      </c>
      <c r="AI364" s="161">
        <f>(AJ368+AK366)/2</f>
        <v>1307.6896063793697</v>
      </c>
      <c r="AJ364" s="162">
        <f>(AJ367*T364*100)</f>
        <v>73.967449284013725</v>
      </c>
      <c r="AK364" s="150">
        <f>INT(AK363)</f>
        <v>36</v>
      </c>
      <c r="AL364" s="151"/>
      <c r="AM364" s="514">
        <f>(BA365-BA364)</f>
        <v>3.4024037237444986</v>
      </c>
      <c r="AN364" s="505">
        <f>(AN365+AM366)/2</f>
        <v>217.97284480032755</v>
      </c>
      <c r="AO364" s="515">
        <f>(AP366*AO366*AN366*AO365*AP365*AM364)</f>
        <v>7881997798087.3867</v>
      </c>
      <c r="AP364" s="505">
        <f>(AO365*AO364*AM364)</f>
        <v>9095041708.3402576</v>
      </c>
      <c r="AQ364" s="514">
        <f>INT(AM364+1)</f>
        <v>4</v>
      </c>
      <c r="AR364" s="516">
        <f>(BC376*-1)</f>
        <v>6.080329304180025</v>
      </c>
      <c r="AS364" s="512"/>
      <c r="AT364" s="503">
        <f>IF(AR364&lt;0,1,-1)</f>
        <v>-1</v>
      </c>
      <c r="AU364" s="512"/>
      <c r="AV364" s="512"/>
      <c r="AW364" s="512"/>
      <c r="AX364" s="512"/>
      <c r="AY364" s="512"/>
      <c r="AZ364" s="512">
        <f>(AY363+BA363)/2</f>
        <v>233.01147627904589</v>
      </c>
      <c r="BA364" s="512">
        <f>AZ364-AM363</f>
        <v>8.3245524572733132</v>
      </c>
      <c r="BB364" s="512">
        <f>(BC368+BD366)/2</f>
        <v>1038.5528923317488</v>
      </c>
      <c r="BC364" s="513">
        <f>(BC367*AM364*100)</f>
        <v>36.961843293744984</v>
      </c>
      <c r="BD364" s="501">
        <f>INT(BD363)</f>
        <v>32</v>
      </c>
      <c r="BE364" s="502"/>
      <c r="BF364" s="514">
        <f>(BT365-BT364)</f>
        <v>3.1900267085224243</v>
      </c>
      <c r="BG364" s="505">
        <f>(BG365+BF366)/2</f>
        <v>217.83303770834868</v>
      </c>
      <c r="BH364" s="515">
        <f>(BI366*BH366*BG366*BH365*BI365*BF364)</f>
        <v>3866737407773.7095</v>
      </c>
      <c r="BI364" s="505">
        <f>(BH365*BH364*BF364)</f>
        <v>4881234664.7837458</v>
      </c>
      <c r="BJ364" s="514">
        <f>INT(BF364+1)</f>
        <v>4</v>
      </c>
      <c r="BK364" s="516">
        <f>(BV376*-1)</f>
        <v>26.601480550353134</v>
      </c>
      <c r="BL364" s="512"/>
      <c r="BM364" s="503">
        <f>IF(BK364&lt;0,1,-1)</f>
        <v>-1</v>
      </c>
      <c r="BN364" s="512"/>
      <c r="BO364" s="512"/>
      <c r="BP364" s="512"/>
      <c r="BQ364" s="512"/>
      <c r="BR364" s="512"/>
      <c r="BS364" s="512">
        <f>(BR363+BT363)/2</f>
        <v>232.84800539661038</v>
      </c>
      <c r="BT364" s="512">
        <f>BS364-BF363</f>
        <v>8.4149651045799203</v>
      </c>
      <c r="BU364" s="512">
        <f>(BV368+BW366)/2</f>
        <v>1038.5528923317488</v>
      </c>
      <c r="BV364" s="513">
        <f>(BV367*BF364*100)</f>
        <v>100.63545960852002</v>
      </c>
      <c r="BW364" s="501">
        <f>INT(BW363)</f>
        <v>32</v>
      </c>
      <c r="BX364" s="502"/>
      <c r="BY364" s="797"/>
      <c r="BZ364" s="797"/>
      <c r="CA364" s="797"/>
      <c r="CB364" s="797"/>
      <c r="CC364" s="797"/>
      <c r="CD364" s="797"/>
      <c r="CE364" s="797"/>
      <c r="CF364" s="797"/>
      <c r="CG364" s="797"/>
      <c r="CH364" s="797"/>
      <c r="CI364" s="797"/>
      <c r="CJ364" s="797"/>
      <c r="CK364" s="797"/>
      <c r="CL364" s="797"/>
      <c r="CM364" s="797"/>
      <c r="CN364" s="797"/>
      <c r="CO364" s="797"/>
      <c r="CP364" s="797"/>
      <c r="CQ364" s="797"/>
      <c r="CR364" s="797"/>
      <c r="CS364" s="797"/>
      <c r="CT364" s="797"/>
      <c r="CU364" s="797"/>
    </row>
    <row r="365" spans="1:99" x14ac:dyDescent="0.25">
      <c r="A365" s="163">
        <f>N364</f>
        <v>232.94053949065585</v>
      </c>
      <c r="B365" s="163">
        <f>(N364+N366)/2</f>
        <v>222.92132277005902</v>
      </c>
      <c r="C365" s="154">
        <f>(A364/D366)</f>
        <v>3.4879232920184466E-4</v>
      </c>
      <c r="D365" s="154">
        <f>(A364+B366+C366+D366)</f>
        <v>22158.138757741297</v>
      </c>
      <c r="E365" s="173">
        <f>(E364*C366)</f>
        <v>11468.142115261993</v>
      </c>
      <c r="F365" s="174"/>
      <c r="G365" s="161"/>
      <c r="H365" s="161"/>
      <c r="I365" s="161"/>
      <c r="J365" s="161"/>
      <c r="K365" s="161"/>
      <c r="L365" s="161"/>
      <c r="M365" s="161">
        <f>(N364+N366)/2</f>
        <v>222.92132277005902</v>
      </c>
      <c r="N365" s="161">
        <f>(I363+N364)/2</f>
        <v>182.0151906082686</v>
      </c>
      <c r="O365" s="161">
        <f>A363-N366</f>
        <v>11.701070618750123</v>
      </c>
      <c r="P365" s="161"/>
      <c r="Q365" s="149"/>
      <c r="R365" s="171"/>
      <c r="S365" s="151"/>
      <c r="T365" s="163">
        <f>AG364</f>
        <v>232.9279354964545</v>
      </c>
      <c r="U365" s="163">
        <f>(AG364+AG366)/2</f>
        <v>222.91029427513286</v>
      </c>
      <c r="V365" s="154">
        <f>(T364/W366)</f>
        <v>3.6891998145076072E-4</v>
      </c>
      <c r="W365" s="154">
        <f>(T364+U366+V366+W366)</f>
        <v>20522.275623789705</v>
      </c>
      <c r="X365" s="173">
        <f>(X364*V366)</f>
        <v>10842.459614874168</v>
      </c>
      <c r="Y365" s="174"/>
      <c r="Z365" s="161"/>
      <c r="AA365" s="161"/>
      <c r="AB365" s="161"/>
      <c r="AC365" s="161"/>
      <c r="AD365" s="161"/>
      <c r="AE365" s="161"/>
      <c r="AF365" s="161">
        <f>(AG364+AG366)/2</f>
        <v>222.91029427513286</v>
      </c>
      <c r="AG365" s="161">
        <f>(AB363+AG364)/2</f>
        <v>182.00888861116792</v>
      </c>
      <c r="AH365" s="161">
        <f>T363-AG366</f>
        <v>11.660107637595701</v>
      </c>
      <c r="AI365" s="161"/>
      <c r="AJ365" s="149"/>
      <c r="AK365" s="171"/>
      <c r="AL365" s="151"/>
      <c r="AM365" s="514">
        <f>AZ364</f>
        <v>233.01147627904589</v>
      </c>
      <c r="AN365" s="514">
        <f>(AZ364+AZ366)/2</f>
        <v>222.98572195990033</v>
      </c>
      <c r="AO365" s="505">
        <f>(AM364/AP366)</f>
        <v>3.391427526410728E-4</v>
      </c>
      <c r="AP365" s="505">
        <f>(AM364+AN366+AO366+AP366)</f>
        <v>23016.74232241312</v>
      </c>
      <c r="AQ365" s="523">
        <f>(AQ364*AO366)</f>
        <v>11794.443398392023</v>
      </c>
      <c r="AR365" s="524"/>
      <c r="AS365" s="512"/>
      <c r="AT365" s="512"/>
      <c r="AU365" s="512"/>
      <c r="AV365" s="512"/>
      <c r="AW365" s="512"/>
      <c r="AX365" s="512"/>
      <c r="AY365" s="512">
        <f>(AZ364+AZ366)/2</f>
        <v>222.98572195990033</v>
      </c>
      <c r="AZ365" s="512">
        <f>(AU363+AZ364)/2</f>
        <v>182.05065900246362</v>
      </c>
      <c r="BA365" s="512">
        <f>AM363-AZ366</f>
        <v>11.726956181017812</v>
      </c>
      <c r="BB365" s="512"/>
      <c r="BC365" s="500"/>
      <c r="BD365" s="502"/>
      <c r="BE365" s="502"/>
      <c r="BF365" s="514">
        <f>BS364</f>
        <v>232.84800539661038</v>
      </c>
      <c r="BG365" s="514">
        <f>(BS364+BS366)/2</f>
        <v>222.83802693776926</v>
      </c>
      <c r="BH365" s="505">
        <f>(BF364/BI366)</f>
        <v>3.9572244862020998E-4</v>
      </c>
      <c r="BI365" s="505">
        <f>(BF364+BG366+BH366+BI366)</f>
        <v>18652.759801628643</v>
      </c>
      <c r="BJ365" s="523">
        <f>(BJ364*BH366)</f>
        <v>10108.094736467563</v>
      </c>
      <c r="BK365" s="524"/>
      <c r="BL365" s="512"/>
      <c r="BM365" s="512"/>
      <c r="BN365" s="512"/>
      <c r="BO365" s="512"/>
      <c r="BP365" s="512"/>
      <c r="BQ365" s="512"/>
      <c r="BR365" s="512">
        <f>(BS364+BS366)/2</f>
        <v>222.83802693776926</v>
      </c>
      <c r="BS365" s="512">
        <f>(BN363+BS364)/2</f>
        <v>181.96892356124584</v>
      </c>
      <c r="BT365" s="512">
        <f>BF363-BS366</f>
        <v>11.604991813102345</v>
      </c>
      <c r="BU365" s="512"/>
      <c r="BV365" s="500"/>
      <c r="BW365" s="502"/>
      <c r="BX365" s="502"/>
      <c r="BY365" s="797"/>
      <c r="BZ365" s="797"/>
      <c r="CA365" s="797"/>
      <c r="CB365" s="797"/>
      <c r="CC365" s="797"/>
      <c r="CD365" s="797"/>
      <c r="CE365" s="797"/>
      <c r="CF365" s="797"/>
      <c r="CG365" s="797"/>
      <c r="CH365" s="797"/>
      <c r="CI365" s="797"/>
      <c r="CJ365" s="797"/>
      <c r="CK365" s="797"/>
      <c r="CL365" s="797"/>
      <c r="CM365" s="797"/>
      <c r="CN365" s="797"/>
      <c r="CO365" s="797"/>
      <c r="CP365" s="797"/>
      <c r="CQ365" s="797"/>
      <c r="CR365" s="797"/>
      <c r="CS365" s="797"/>
      <c r="CT365" s="797"/>
      <c r="CU365" s="797"/>
    </row>
    <row r="366" spans="1:99" x14ac:dyDescent="0.25">
      <c r="A366" s="277">
        <f>N366</f>
        <v>212.90210604946222</v>
      </c>
      <c r="B366" s="154">
        <f>G372</f>
        <v>9643.8697605647449</v>
      </c>
      <c r="C366" s="154">
        <f>(B366/A364)</f>
        <v>2867.0355288154983</v>
      </c>
      <c r="D366" s="154">
        <f>(A364*C366)</f>
        <v>9643.8697605647449</v>
      </c>
      <c r="E366" s="163">
        <f>INT(A364)+1</f>
        <v>4</v>
      </c>
      <c r="F366" s="174">
        <f>(Q376)</f>
        <v>-12.265249681232978</v>
      </c>
      <c r="G366" s="161"/>
      <c r="H366" s="152">
        <f>IF(F364&gt;0,-1,1)</f>
        <v>-1</v>
      </c>
      <c r="I366" s="161"/>
      <c r="J366" s="161"/>
      <c r="K366" s="161"/>
      <c r="L366" s="161"/>
      <c r="M366" s="161">
        <f>(N365+P363*2)</f>
        <v>192.86367260826859</v>
      </c>
      <c r="N366" s="161">
        <f>(N364+M366)/2</f>
        <v>212.90210604946222</v>
      </c>
      <c r="O366" s="161">
        <f>(N365+J363)/2</f>
        <v>377.0907953041343</v>
      </c>
      <c r="P366" s="152">
        <f>IF(Q376&gt;1,-1,1)</f>
        <v>1</v>
      </c>
      <c r="Q366" s="162">
        <f>F374-F371</f>
        <v>-2.813383056384974</v>
      </c>
      <c r="R366" s="150">
        <f>R364^2</f>
        <v>1296</v>
      </c>
      <c r="S366" s="151"/>
      <c r="T366" s="277">
        <f>AG366</f>
        <v>212.89265305381122</v>
      </c>
      <c r="U366" s="154">
        <f>Z372</f>
        <v>8904.1878936193061</v>
      </c>
      <c r="V366" s="154">
        <f>(U366/T364)</f>
        <v>2710.6149037185419</v>
      </c>
      <c r="W366" s="154">
        <f>(T364*V366)</f>
        <v>8904.1878936193061</v>
      </c>
      <c r="X366" s="163">
        <f>INT(T364)+1</f>
        <v>4</v>
      </c>
      <c r="Y366" s="174">
        <f>(AJ376)</f>
        <v>-18.043691663576595</v>
      </c>
      <c r="Z366" s="161"/>
      <c r="AA366" s="152">
        <f>IF(Y364&gt;0,-1,1)</f>
        <v>-1</v>
      </c>
      <c r="AB366" s="161"/>
      <c r="AC366" s="161"/>
      <c r="AD366" s="161"/>
      <c r="AE366" s="161"/>
      <c r="AF366" s="161">
        <f>(AG365+AI363*2)</f>
        <v>192.85737061116791</v>
      </c>
      <c r="AG366" s="161">
        <f>(AG364+AF366)/2</f>
        <v>212.89265305381122</v>
      </c>
      <c r="AH366" s="161">
        <f>(AG365+AC363)/2</f>
        <v>377.08764430558392</v>
      </c>
      <c r="AI366" s="152">
        <f>IF(AJ376&gt;1,-1,1)</f>
        <v>1</v>
      </c>
      <c r="AJ366" s="162">
        <f>Y374-Y371</f>
        <v>-2.719758638741915</v>
      </c>
      <c r="AK366" s="150">
        <f>AK364^2</f>
        <v>1296</v>
      </c>
      <c r="AL366" s="151"/>
      <c r="AM366" s="616">
        <f>AZ366</f>
        <v>212.95996764075477</v>
      </c>
      <c r="AN366" s="505">
        <f>AS372</f>
        <v>10032.364534545684</v>
      </c>
      <c r="AO366" s="505">
        <f>(AN366/AM364)</f>
        <v>2948.6108495980056</v>
      </c>
      <c r="AP366" s="505">
        <f>(AM364*AO366)</f>
        <v>10032.364534545684</v>
      </c>
      <c r="AQ366" s="514">
        <f>INT(AM364)+1</f>
        <v>4</v>
      </c>
      <c r="AR366" s="524">
        <f>(BC376)</f>
        <v>-6.080329304180025</v>
      </c>
      <c r="AS366" s="512"/>
      <c r="AT366" s="503">
        <f>IF(AR364&gt;0,-1,1)</f>
        <v>-1</v>
      </c>
      <c r="AU366" s="512"/>
      <c r="AV366" s="512"/>
      <c r="AW366" s="512"/>
      <c r="AX366" s="512"/>
      <c r="AY366" s="512">
        <f>(AZ365+BB363*2)</f>
        <v>192.90845900246362</v>
      </c>
      <c r="AZ366" s="512">
        <f>(AZ364+AY366)/2</f>
        <v>212.95996764075477</v>
      </c>
      <c r="BA366" s="512">
        <f>(AZ365+AV363)/2</f>
        <v>377.10852950123177</v>
      </c>
      <c r="BB366" s="503">
        <f>IF(BC376&gt;1,-1,1)</f>
        <v>1</v>
      </c>
      <c r="BC366" s="513">
        <f>AR374-AR371</f>
        <v>-2.8550464287357382</v>
      </c>
      <c r="BD366" s="501">
        <f>BD364^2</f>
        <v>1024</v>
      </c>
      <c r="BE366" s="502"/>
      <c r="BF366" s="616">
        <f>BS366</f>
        <v>212.82804847892811</v>
      </c>
      <c r="BG366" s="505">
        <f>BL372</f>
        <v>8061.2730454016155</v>
      </c>
      <c r="BH366" s="505">
        <f>(BG366/BF364)</f>
        <v>2527.0236841168908</v>
      </c>
      <c r="BI366" s="505">
        <f>(BF364*BH366)</f>
        <v>8061.2730454016155</v>
      </c>
      <c r="BJ366" s="514">
        <f>INT(BF364)+1</f>
        <v>4</v>
      </c>
      <c r="BK366" s="524">
        <f>(BV376)</f>
        <v>-26.601480550353134</v>
      </c>
      <c r="BL366" s="512"/>
      <c r="BM366" s="503">
        <f>IF(BK364&gt;0,-1,1)</f>
        <v>-1</v>
      </c>
      <c r="BN366" s="512"/>
      <c r="BO366" s="512"/>
      <c r="BP366" s="512"/>
      <c r="BQ366" s="512"/>
      <c r="BR366" s="512">
        <f>(BS365+BU363*2)</f>
        <v>192.80809156124585</v>
      </c>
      <c r="BS366" s="512">
        <f>(BS364+BR366)/2</f>
        <v>212.82804847892811</v>
      </c>
      <c r="BT366" s="512">
        <f>(BS365+BO363)/2</f>
        <v>377.06766178062287</v>
      </c>
      <c r="BU366" s="503">
        <f>IF(BV376&gt;1,-1,1)</f>
        <v>1</v>
      </c>
      <c r="BV366" s="513">
        <f>BK374-BK371</f>
        <v>-2.6120440081908605</v>
      </c>
      <c r="BW366" s="501">
        <f>BW364^2</f>
        <v>1024</v>
      </c>
      <c r="BX366" s="502"/>
      <c r="BY366" s="797"/>
      <c r="BZ366" s="797"/>
      <c r="CA366" s="797"/>
      <c r="CB366" s="797"/>
      <c r="CC366" s="797"/>
      <c r="CD366" s="797"/>
      <c r="CE366" s="797"/>
      <c r="CF366" s="797"/>
      <c r="CG366" s="797"/>
      <c r="CH366" s="797"/>
      <c r="CI366" s="797"/>
      <c r="CJ366" s="797"/>
      <c r="CK366" s="797"/>
      <c r="CL366" s="797"/>
      <c r="CM366" s="797"/>
      <c r="CN366" s="797"/>
      <c r="CO366" s="797"/>
      <c r="CP366" s="797"/>
      <c r="CQ366" s="797"/>
      <c r="CR366" s="797"/>
      <c r="CS366" s="797"/>
      <c r="CT366" s="797"/>
      <c r="CU366" s="797"/>
    </row>
    <row r="367" spans="1:99" x14ac:dyDescent="0.25">
      <c r="A367" s="277">
        <f>(O365+O364)+A363</f>
        <v>244.64161010940597</v>
      </c>
      <c r="B367" s="154">
        <f>(A365+B365)/2</f>
        <v>227.93093113035744</v>
      </c>
      <c r="C367" s="163">
        <f>(C365)</f>
        <v>3.4879232920184466E-4</v>
      </c>
      <c r="D367" s="154">
        <f>(D364*D365*D366*B366*A364)</f>
        <v>5.637591614364183E+22</v>
      </c>
      <c r="E367" s="154">
        <f>(C367*A364)</f>
        <v>1.1732354770281877E-3</v>
      </c>
      <c r="F367" s="161">
        <f>(F369/O369)*O370-F370</f>
        <v>-4.4980275993185979</v>
      </c>
      <c r="G367" s="161"/>
      <c r="H367" s="161"/>
      <c r="I367" s="161"/>
      <c r="J367" s="161"/>
      <c r="K367" s="161"/>
      <c r="L367" s="161"/>
      <c r="M367" s="161"/>
      <c r="N367" s="154">
        <f>(F367+Q376)*F370</f>
        <v>-205.60578132170525</v>
      </c>
      <c r="O367" s="152">
        <f>H366</f>
        <v>-1</v>
      </c>
      <c r="P367" s="152">
        <f>IF(Q376&lt;100,1,-1)</f>
        <v>1</v>
      </c>
      <c r="Q367" s="162">
        <f>Q366+F374</f>
        <v>0.13835891975674652</v>
      </c>
      <c r="R367" s="171"/>
      <c r="S367" s="151"/>
      <c r="T367" s="277">
        <f>(AH365+AH364)+T363</f>
        <v>244.5880431340502</v>
      </c>
      <c r="U367" s="154">
        <f>(T365+U365)/2</f>
        <v>227.91911488579368</v>
      </c>
      <c r="V367" s="163">
        <f>(V365)</f>
        <v>3.6891998145076072E-4</v>
      </c>
      <c r="W367" s="154">
        <f>(W364*W365*W366*U366*T364)</f>
        <v>3.4621027677833173E+22</v>
      </c>
      <c r="X367" s="154">
        <f>(V367*T364)</f>
        <v>1.2118773596506481E-3</v>
      </c>
      <c r="Y367" s="161">
        <f>(Y369/AH369)*AH370-Y370</f>
        <v>-13.893091946481199</v>
      </c>
      <c r="Z367" s="161"/>
      <c r="AA367" s="161"/>
      <c r="AB367" s="161"/>
      <c r="AC367" s="161"/>
      <c r="AD367" s="161"/>
      <c r="AE367" s="161"/>
      <c r="AF367" s="161"/>
      <c r="AG367" s="154">
        <f>(Y367+AJ376)*Y370</f>
        <v>-576.25747618624951</v>
      </c>
      <c r="AH367" s="152">
        <f>AA366</f>
        <v>-1</v>
      </c>
      <c r="AI367" s="152">
        <f>IF(AJ376&lt;100,1,-1)</f>
        <v>1</v>
      </c>
      <c r="AJ367" s="162">
        <f>AJ366+Y374</f>
        <v>0.22517187733983945</v>
      </c>
      <c r="AK367" s="171"/>
      <c r="AL367" s="151"/>
      <c r="AM367" s="616">
        <f>(BA365+BA364)+AM363</f>
        <v>244.73843246006371</v>
      </c>
      <c r="AN367" s="505">
        <f>(AM365+AN365)/2</f>
        <v>227.99859911947311</v>
      </c>
      <c r="AO367" s="514">
        <f>(AO365)</f>
        <v>3.391427526410728E-4</v>
      </c>
      <c r="AP367" s="505">
        <f>(AP364*AP365*AP366*AN366*AM364)</f>
        <v>7.1687098718650869E+22</v>
      </c>
      <c r="AQ367" s="505">
        <f>(AO367*AM364)</f>
        <v>1.1539005644669454E-3</v>
      </c>
      <c r="AR367" s="512">
        <f>(AR369/BA369)*BA370-AR370</f>
        <v>0.27156483678487398</v>
      </c>
      <c r="AS367" s="512"/>
      <c r="AT367" s="512"/>
      <c r="AU367" s="512"/>
      <c r="AV367" s="512"/>
      <c r="AW367" s="512"/>
      <c r="AX367" s="512"/>
      <c r="AY367" s="512"/>
      <c r="AZ367" s="505">
        <f>(AR367+BC376)*AR370</f>
        <v>-35.319200812182416</v>
      </c>
      <c r="BA367" s="503">
        <f>AT366</f>
        <v>-1</v>
      </c>
      <c r="BB367" s="503">
        <f>IF(BC376&lt;100,1,-1)</f>
        <v>1</v>
      </c>
      <c r="BC367" s="513">
        <f>BC366+AR374</f>
        <v>0.10863450164893074</v>
      </c>
      <c r="BD367" s="502"/>
      <c r="BE367" s="502"/>
      <c r="BF367" s="616">
        <f>(BT365+BT364)+BF363</f>
        <v>244.45299720971272</v>
      </c>
      <c r="BG367" s="505">
        <f>(BF365+BG365)/2</f>
        <v>227.84301616718983</v>
      </c>
      <c r="BH367" s="514">
        <f>(BH365)</f>
        <v>3.9572244862020998E-4</v>
      </c>
      <c r="BI367" s="505">
        <f>(BI364*BI365*BI366*BG366*BF364)</f>
        <v>1.8874452674441076E+22</v>
      </c>
      <c r="BJ367" s="505">
        <f>(BH367*BF364)</f>
        <v>1.2623651802603625E-3</v>
      </c>
      <c r="BK367" s="512">
        <f>(BK369/BT369)*BT370-BK370</f>
        <v>-23.537792839638747</v>
      </c>
      <c r="BL367" s="512"/>
      <c r="BM367" s="512"/>
      <c r="BN367" s="512"/>
      <c r="BO367" s="512"/>
      <c r="BP367" s="512"/>
      <c r="BQ367" s="512"/>
      <c r="BR367" s="512"/>
      <c r="BS367" s="505">
        <f>(BK367+BV376)*BK370</f>
        <v>-1333.7789058927076</v>
      </c>
      <c r="BT367" s="503">
        <f>BM366</f>
        <v>-1</v>
      </c>
      <c r="BU367" s="503">
        <f>IF(BV376&lt;100,1,-1)</f>
        <v>1</v>
      </c>
      <c r="BV367" s="513">
        <f>BV366+BK374</f>
        <v>0.31546901892596679</v>
      </c>
      <c r="BW367" s="502"/>
      <c r="BX367" s="502"/>
      <c r="BY367" s="797"/>
      <c r="BZ367" s="797"/>
      <c r="CA367" s="797"/>
      <c r="CB367" s="797"/>
      <c r="CC367" s="797"/>
      <c r="CD367" s="797"/>
      <c r="CE367" s="797"/>
      <c r="CF367" s="797"/>
      <c r="CG367" s="797"/>
      <c r="CH367" s="797"/>
      <c r="CI367" s="797"/>
      <c r="CJ367" s="797"/>
      <c r="CK367" s="797"/>
      <c r="CL367" s="797"/>
      <c r="CM367" s="797"/>
      <c r="CN367" s="797"/>
      <c r="CO367" s="797"/>
      <c r="CP367" s="797"/>
      <c r="CQ367" s="797"/>
      <c r="CR367" s="797"/>
      <c r="CS367" s="797"/>
      <c r="CT367" s="797"/>
      <c r="CU367" s="797"/>
    </row>
    <row r="368" spans="1:99" x14ac:dyDescent="0.25">
      <c r="A368" s="277">
        <f>(O365*-1-O364)+A363</f>
        <v>204.56474322701871</v>
      </c>
      <c r="B368" s="154">
        <f>(B365+B364)/2</f>
        <v>220.41651858990983</v>
      </c>
      <c r="C368" s="154">
        <f>(B364+A366)/2</f>
        <v>215.40691022961141</v>
      </c>
      <c r="D368" s="154">
        <f>D364</f>
        <v>8132787029.6526718</v>
      </c>
      <c r="E368" s="154">
        <f>(B365+A363)/2</f>
        <v>223.7622497191357</v>
      </c>
      <c r="F368" s="161">
        <f>(F370/O370)</f>
        <v>2.3419058928585978</v>
      </c>
      <c r="G368" s="161"/>
      <c r="H368" s="161"/>
      <c r="I368" s="161"/>
      <c r="J368" s="161"/>
      <c r="K368" s="161"/>
      <c r="L368" s="161"/>
      <c r="M368" s="161"/>
      <c r="N368" s="161"/>
      <c r="O368" s="152">
        <f>H364</f>
        <v>-1</v>
      </c>
      <c r="P368" s="152">
        <f>IF(Q376&lt;0,-1,1)</f>
        <v>-1</v>
      </c>
      <c r="Q368" s="174">
        <f>Q345</f>
        <v>1319.3792127587394</v>
      </c>
      <c r="R368" s="171"/>
      <c r="S368" s="151"/>
      <c r="T368" s="277">
        <f>(AH365*-1-AH364)+T363</f>
        <v>204.51747824876364</v>
      </c>
      <c r="U368" s="154">
        <f>(U365+U364)/2</f>
        <v>220.40588396980246</v>
      </c>
      <c r="V368" s="154">
        <f>(U364+T366)/2</f>
        <v>215.39706335914161</v>
      </c>
      <c r="W368" s="154">
        <f>W364</f>
        <v>6477379069.546916</v>
      </c>
      <c r="X368" s="154">
        <f>(U365+T363)/2</f>
        <v>223.73152748326987</v>
      </c>
      <c r="Y368" s="161">
        <f>(Y370/AH370)</f>
        <v>6.079832920875436</v>
      </c>
      <c r="Z368" s="161"/>
      <c r="AA368" s="161"/>
      <c r="AB368" s="161"/>
      <c r="AC368" s="161"/>
      <c r="AD368" s="161"/>
      <c r="AE368" s="161"/>
      <c r="AF368" s="161"/>
      <c r="AG368" s="161"/>
      <c r="AH368" s="152">
        <f>AA364</f>
        <v>-1</v>
      </c>
      <c r="AI368" s="152">
        <f>IF(AJ376&lt;0,-1,1)</f>
        <v>-1</v>
      </c>
      <c r="AJ368" s="174">
        <f>AJ345</f>
        <v>1319.3792127587394</v>
      </c>
      <c r="AK368" s="171"/>
      <c r="AL368" s="151"/>
      <c r="AM368" s="616">
        <f>(BA365*-1-BA364)+AM363</f>
        <v>204.63541518348146</v>
      </c>
      <c r="AN368" s="505">
        <f>(AN365+AN364)/2</f>
        <v>220.47928338011394</v>
      </c>
      <c r="AO368" s="505">
        <f>(AN364+AM366)/2</f>
        <v>215.46640622054116</v>
      </c>
      <c r="AP368" s="505">
        <f>AP364</f>
        <v>9095041708.3402576</v>
      </c>
      <c r="AQ368" s="505">
        <f>(AN365+AM363)/2</f>
        <v>223.83632289083647</v>
      </c>
      <c r="AR368" s="512">
        <f>(AR370/BA370)</f>
        <v>1.4618231900832266</v>
      </c>
      <c r="AS368" s="512"/>
      <c r="AT368" s="512"/>
      <c r="AU368" s="512"/>
      <c r="AV368" s="512"/>
      <c r="AW368" s="512"/>
      <c r="AX368" s="512"/>
      <c r="AY368" s="512"/>
      <c r="AZ368" s="512"/>
      <c r="BA368" s="503">
        <f>AT364</f>
        <v>-1</v>
      </c>
      <c r="BB368" s="503">
        <f>IF(BC376&lt;0,-1,1)</f>
        <v>-1</v>
      </c>
      <c r="BC368" s="524">
        <f>BC345</f>
        <v>1053.1057846634974</v>
      </c>
      <c r="BD368" s="502"/>
      <c r="BE368" s="502"/>
      <c r="BF368" s="616">
        <f>(BT365*-1-BT364)+BF363</f>
        <v>204.41308337434819</v>
      </c>
      <c r="BG368" s="505">
        <f>(BG365+BG364)/2</f>
        <v>220.33553232305897</v>
      </c>
      <c r="BH368" s="505">
        <f>(BG364+BF366)/2</f>
        <v>215.3305430936384</v>
      </c>
      <c r="BI368" s="505">
        <f>BI364</f>
        <v>4881234664.7837458</v>
      </c>
      <c r="BJ368" s="505">
        <f>(BG365+BF363)/2</f>
        <v>223.63553361489986</v>
      </c>
      <c r="BK368" s="512">
        <f>(BK370/BT370)</f>
        <v>11.28622285585501</v>
      </c>
      <c r="BL368" s="512"/>
      <c r="BM368" s="512"/>
      <c r="BN368" s="512"/>
      <c r="BO368" s="512"/>
      <c r="BP368" s="512"/>
      <c r="BQ368" s="512"/>
      <c r="BR368" s="512"/>
      <c r="BS368" s="512"/>
      <c r="BT368" s="503">
        <f>BM364</f>
        <v>-1</v>
      </c>
      <c r="BU368" s="503">
        <f>IF(BV376&lt;0,-1,1)</f>
        <v>-1</v>
      </c>
      <c r="BV368" s="524">
        <f>BV345</f>
        <v>1053.1057846634974</v>
      </c>
      <c r="BW368" s="502"/>
      <c r="BX368" s="502"/>
      <c r="BY368" s="797"/>
      <c r="BZ368" s="797"/>
      <c r="CA368" s="797"/>
      <c r="CB368" s="797"/>
      <c r="CC368" s="797"/>
      <c r="CD368" s="797"/>
      <c r="CE368" s="797"/>
      <c r="CF368" s="797"/>
      <c r="CG368" s="797"/>
      <c r="CH368" s="797"/>
      <c r="CI368" s="797"/>
      <c r="CJ368" s="797"/>
      <c r="CK368" s="797"/>
      <c r="CL368" s="797"/>
      <c r="CM368" s="797"/>
      <c r="CN368" s="797"/>
      <c r="CO368" s="797"/>
      <c r="CP368" s="797"/>
      <c r="CQ368" s="797"/>
      <c r="CR368" s="797"/>
      <c r="CS368" s="797"/>
      <c r="CT368" s="797"/>
      <c r="CU368" s="797"/>
    </row>
    <row r="369" spans="1:99" x14ac:dyDescent="0.25">
      <c r="A369" s="163">
        <f>(A368-A367)+A363-A365</f>
        <v>-48.414229704830774</v>
      </c>
      <c r="B369" s="163">
        <f>(A369*-1)+A370</f>
        <v>20.038433441193632</v>
      </c>
      <c r="C369" s="163">
        <f>(B369/2)+A364</f>
        <v>13.382924516903429</v>
      </c>
      <c r="D369" s="163">
        <f>(C377+C370+B376+B369+A364)*-1</f>
        <v>7.6933839305113949</v>
      </c>
      <c r="E369" s="163">
        <f>(C369*A364)*D369</f>
        <v>346.32727539685345</v>
      </c>
      <c r="F369" s="152">
        <f>(E369*A364)</f>
        <v>1164.9437563260235</v>
      </c>
      <c r="G369" s="152">
        <f>(F369+E369)</f>
        <v>1511.2710317228771</v>
      </c>
      <c r="H369" s="161"/>
      <c r="I369" s="161"/>
      <c r="J369" s="161"/>
      <c r="K369" s="161"/>
      <c r="L369" s="161"/>
      <c r="M369" s="161"/>
      <c r="N369" s="161"/>
      <c r="O369" s="161">
        <v>785.5</v>
      </c>
      <c r="P369" s="152">
        <f>IF(N367&gt;-1,1,-1)</f>
        <v>-1</v>
      </c>
      <c r="Q369" s="149">
        <f>Q346</f>
        <v>0.9</v>
      </c>
      <c r="R369" s="171"/>
      <c r="S369" s="151"/>
      <c r="T369" s="163">
        <f>(T368-T367)+T363-T365</f>
        <v>-48.445739690334136</v>
      </c>
      <c r="U369" s="163">
        <f>(T369*-1)+T370</f>
        <v>20.035282442643279</v>
      </c>
      <c r="V369" s="163">
        <f>(U369/2)+T364</f>
        <v>13.302574053869762</v>
      </c>
      <c r="W369" s="163">
        <f>(V377+V370+U376+U369+T364)*-1</f>
        <v>7.6530511490670463</v>
      </c>
      <c r="X369" s="163">
        <f>(V369*T364)*W369</f>
        <v>334.42350564415813</v>
      </c>
      <c r="Y369" s="152">
        <f>(X369*T364)</f>
        <v>1098.5587536663375</v>
      </c>
      <c r="Z369" s="152">
        <f>(Y369+X369)</f>
        <v>1432.9822593104955</v>
      </c>
      <c r="AA369" s="161"/>
      <c r="AB369" s="161"/>
      <c r="AC369" s="161"/>
      <c r="AD369" s="161"/>
      <c r="AE369" s="161"/>
      <c r="AF369" s="161"/>
      <c r="AG369" s="161"/>
      <c r="AH369" s="161">
        <v>785.5</v>
      </c>
      <c r="AI369" s="152">
        <f>IF(AG367&gt;-1,1,-1)</f>
        <v>-1</v>
      </c>
      <c r="AJ369" s="149">
        <f>AJ346</f>
        <v>0.51</v>
      </c>
      <c r="AK369" s="171"/>
      <c r="AL369" s="151"/>
      <c r="AM369" s="514">
        <f>(AM368-AM367)+AM363-AM365</f>
        <v>-48.427569733855563</v>
      </c>
      <c r="AN369" s="514">
        <f>(AM369*-1)+AM370</f>
        <v>20.051508638291125</v>
      </c>
      <c r="AO369" s="514">
        <f>(AN369/2)+AM364</f>
        <v>13.428158042890061</v>
      </c>
      <c r="AP369" s="514">
        <f>(AO377+AO370+AN376+AN369+AM364)*-1</f>
        <v>7.7166544533595882</v>
      </c>
      <c r="AQ369" s="514">
        <f>(AO369*AM364)*AP369</f>
        <v>352.55862386053582</v>
      </c>
      <c r="AR369" s="503">
        <f>(AQ369*AM364)</f>
        <v>1199.5467746613231</v>
      </c>
      <c r="AS369" s="503">
        <f>(AR369+AQ369)</f>
        <v>1552.1053985218589</v>
      </c>
      <c r="AT369" s="512"/>
      <c r="AU369" s="512"/>
      <c r="AV369" s="512"/>
      <c r="AW369" s="512"/>
      <c r="AX369" s="512"/>
      <c r="AY369" s="512"/>
      <c r="AZ369" s="512"/>
      <c r="BA369" s="512">
        <v>785.5</v>
      </c>
      <c r="BB369" s="503">
        <f>IF(AZ367&gt;-1,1,-1)</f>
        <v>-1</v>
      </c>
      <c r="BC369" s="500">
        <f>BC346</f>
        <v>0.9</v>
      </c>
      <c r="BD369" s="502"/>
      <c r="BE369" s="502"/>
      <c r="BF369" s="514">
        <f>(BF368-BF367)+BF363-BF365</f>
        <v>-48.45487893994445</v>
      </c>
      <c r="BG369" s="514">
        <f>(BF369*-1)+BF370</f>
        <v>20.019956917682265</v>
      </c>
      <c r="BH369" s="514">
        <f>(BG369/2)+BF364</f>
        <v>13.200005167363557</v>
      </c>
      <c r="BI369" s="514">
        <f>(BH377+BH370+BG376+BG369+BF364)*-1</f>
        <v>7.6010004295658931</v>
      </c>
      <c r="BJ369" s="514">
        <f>(BH369*BF364)*BI369</f>
        <v>320.06573113493624</v>
      </c>
      <c r="BK369" s="503">
        <f>(BJ369*BF364)</f>
        <v>1021.0182308032039</v>
      </c>
      <c r="BL369" s="503">
        <f>(BK369+BJ369)</f>
        <v>1341.0839619381402</v>
      </c>
      <c r="BM369" s="512"/>
      <c r="BN369" s="512"/>
      <c r="BO369" s="512"/>
      <c r="BP369" s="512"/>
      <c r="BQ369" s="512"/>
      <c r="BR369" s="512"/>
      <c r="BS369" s="512"/>
      <c r="BT369" s="512">
        <v>785.5</v>
      </c>
      <c r="BU369" s="503">
        <f>IF(BS367&gt;-1,1,-1)</f>
        <v>-1</v>
      </c>
      <c r="BV369" s="500">
        <f>BV346</f>
        <v>0.51</v>
      </c>
      <c r="BW369" s="502"/>
      <c r="BX369" s="502"/>
      <c r="BY369" s="797"/>
      <c r="BZ369" s="797"/>
      <c r="CA369" s="797"/>
      <c r="CB369" s="797"/>
      <c r="CC369" s="797"/>
      <c r="CD369" s="797"/>
      <c r="CE369" s="797"/>
      <c r="CF369" s="797"/>
      <c r="CG369" s="797"/>
      <c r="CH369" s="797"/>
      <c r="CI369" s="797"/>
      <c r="CJ369" s="797"/>
      <c r="CK369" s="797"/>
      <c r="CL369" s="797"/>
      <c r="CM369" s="797"/>
      <c r="CN369" s="797"/>
      <c r="CO369" s="797"/>
      <c r="CP369" s="797"/>
      <c r="CQ369" s="797"/>
      <c r="CR369" s="797"/>
      <c r="CS369" s="797"/>
      <c r="CT369" s="797"/>
      <c r="CU369" s="797"/>
    </row>
    <row r="370" spans="1:99" x14ac:dyDescent="0.25">
      <c r="A370" s="163">
        <f>(A368-A367)+A363-A366</f>
        <v>-28.375796263637142</v>
      </c>
      <c r="B370" s="163">
        <f>A371+(A370*-1)+A369</f>
        <v>-96.828459409661548</v>
      </c>
      <c r="C370" s="154">
        <f>(B370/10)</f>
        <v>-9.6828459409661551</v>
      </c>
      <c r="D370" s="154"/>
      <c r="E370" s="154"/>
      <c r="F370" s="161">
        <f>(Q376*-1)</f>
        <v>12.265249681232978</v>
      </c>
      <c r="G370" s="161"/>
      <c r="H370" s="161"/>
      <c r="I370" s="161"/>
      <c r="J370" s="161"/>
      <c r="K370" s="161"/>
      <c r="L370" s="161"/>
      <c r="M370" s="161"/>
      <c r="N370" s="161"/>
      <c r="O370" s="161">
        <f>(H378/1000)*8.9</f>
        <v>5.2372940000000003</v>
      </c>
      <c r="P370" s="152">
        <f>(P372+O374)/2</f>
        <v>1276.0221893990406</v>
      </c>
      <c r="Q370" s="149">
        <f>H378/(Q377*1000)</f>
        <v>0.11230152671755726</v>
      </c>
      <c r="R370" s="171"/>
      <c r="S370" s="151"/>
      <c r="T370" s="163">
        <f>(T368-T367)+T363-T366</f>
        <v>-28.410457247690857</v>
      </c>
      <c r="U370" s="163">
        <f>T371+(T370*-1)+T369</f>
        <v>-96.891479380668272</v>
      </c>
      <c r="V370" s="154">
        <f>(U370/10)</f>
        <v>-9.6891479380668279</v>
      </c>
      <c r="W370" s="154"/>
      <c r="X370" s="154"/>
      <c r="Y370" s="161">
        <f>(AJ376*-1)</f>
        <v>18.043691663576595</v>
      </c>
      <c r="Z370" s="161"/>
      <c r="AA370" s="161"/>
      <c r="AB370" s="161"/>
      <c r="AC370" s="161"/>
      <c r="AD370" s="161"/>
      <c r="AE370" s="161"/>
      <c r="AF370" s="161"/>
      <c r="AG370" s="161"/>
      <c r="AH370" s="161">
        <f>(AA378/1000)*8.9</f>
        <v>2.967794</v>
      </c>
      <c r="AI370" s="152">
        <f>(AI372+AH374)/2</f>
        <v>1276.2478942880346</v>
      </c>
      <c r="AJ370" s="149">
        <f>AA378/(AJ377*1000)</f>
        <v>0.11227609427609427</v>
      </c>
      <c r="AK370" s="171"/>
      <c r="AL370" s="151"/>
      <c r="AM370" s="514">
        <f>(AM368-AM367)+AM363-AM366</f>
        <v>-28.376061095564438</v>
      </c>
      <c r="AN370" s="514">
        <f>AM371+(AM370*-1)+AM369</f>
        <v>-96.855139467711126</v>
      </c>
      <c r="AO370" s="505">
        <f>(AN370/10)</f>
        <v>-9.6855139467711133</v>
      </c>
      <c r="AP370" s="505"/>
      <c r="AQ370" s="505"/>
      <c r="AR370" s="512">
        <f>(BC376*-1)</f>
        <v>6.080329304180025</v>
      </c>
      <c r="AS370" s="512"/>
      <c r="AT370" s="512"/>
      <c r="AU370" s="512"/>
      <c r="AV370" s="512"/>
      <c r="AW370" s="512"/>
      <c r="AX370" s="512"/>
      <c r="AY370" s="512"/>
      <c r="AZ370" s="512"/>
      <c r="BA370" s="512">
        <f>(AT378/1000)*8.9</f>
        <v>4.159415000000001</v>
      </c>
      <c r="BB370" s="503">
        <f>(BB372+BA374)/2</f>
        <v>1013.3115851281315</v>
      </c>
      <c r="BC370" s="500">
        <f>AT378/(BC377*1000)</f>
        <v>0.11234375000000001</v>
      </c>
      <c r="BD370" s="502"/>
      <c r="BE370" s="502"/>
      <c r="BF370" s="514">
        <f>(BF368-BF367)+BF363-BF366</f>
        <v>-28.434922022262185</v>
      </c>
      <c r="BG370" s="514">
        <f>BF371+(BF370*-1)+BF369</f>
        <v>-96.9097578798889</v>
      </c>
      <c r="BH370" s="505">
        <f>(BG370/10)</f>
        <v>-9.69097578798889</v>
      </c>
      <c r="BI370" s="505"/>
      <c r="BJ370" s="505"/>
      <c r="BK370" s="512">
        <f>(BV376*-1)</f>
        <v>26.601480550353134</v>
      </c>
      <c r="BL370" s="512"/>
      <c r="BM370" s="512"/>
      <c r="BN370" s="512"/>
      <c r="BO370" s="512"/>
      <c r="BP370" s="512"/>
      <c r="BQ370" s="512"/>
      <c r="BR370" s="512"/>
      <c r="BS370" s="512"/>
      <c r="BT370" s="512">
        <f>(BM378/1000)*8.9</f>
        <v>2.3569870000000002</v>
      </c>
      <c r="BU370" s="503">
        <f>(BU372+BT374)/2</f>
        <v>1013.8017894844334</v>
      </c>
      <c r="BV370" s="500">
        <f>BM378/(BV377*1000)</f>
        <v>0.11221610169491525</v>
      </c>
      <c r="BW370" s="502"/>
      <c r="BX370" s="502"/>
      <c r="BY370" s="797"/>
      <c r="BZ370" s="797"/>
      <c r="CA370" s="797"/>
      <c r="CB370" s="797"/>
      <c r="CC370" s="797"/>
      <c r="CD370" s="797"/>
      <c r="CE370" s="797"/>
      <c r="CF370" s="797"/>
      <c r="CG370" s="797"/>
      <c r="CH370" s="797"/>
      <c r="CI370" s="797"/>
      <c r="CJ370" s="797"/>
      <c r="CK370" s="797"/>
      <c r="CL370" s="797"/>
      <c r="CM370" s="797"/>
      <c r="CN370" s="797"/>
      <c r="CO370" s="797"/>
      <c r="CP370" s="797"/>
      <c r="CQ370" s="797"/>
      <c r="CR370" s="797"/>
      <c r="CS370" s="797"/>
      <c r="CT370" s="797"/>
      <c r="CU370" s="797"/>
    </row>
    <row r="371" spans="1:99" x14ac:dyDescent="0.25">
      <c r="A371" s="163">
        <f>(A370+A369)</f>
        <v>-76.790025968467916</v>
      </c>
      <c r="B371" s="154"/>
      <c r="C371" s="154">
        <f>((F371+E371*-1)+E375)*10-A364+O371*-1-C367*111</f>
        <v>10.335632089760496</v>
      </c>
      <c r="D371" s="154"/>
      <c r="E371" s="154">
        <f>(E375+O371+F371)</f>
        <v>-9.9899020637121971E-2</v>
      </c>
      <c r="F371" s="161">
        <f>(O371*E375)</f>
        <v>5.7651250325266945</v>
      </c>
      <c r="G371" s="161"/>
      <c r="H371" s="191">
        <f>(P372+H372)/2</f>
        <v>973.67204170324749</v>
      </c>
      <c r="I371" s="161"/>
      <c r="J371" s="161"/>
      <c r="K371" s="161"/>
      <c r="L371" s="161"/>
      <c r="M371" s="161"/>
      <c r="N371" s="161">
        <f>(A367-A363)-(A363-B368)</f>
        <v>15.851775362891118</v>
      </c>
      <c r="O371" s="152">
        <f>(P371+A364+C367*10)</f>
        <v>-1.2489141667825925</v>
      </c>
      <c r="P371" s="161">
        <f>E375</f>
        <v>-4.6161098863812242</v>
      </c>
      <c r="Q371" s="162">
        <f>(Q367*Q366*10)</f>
        <v>-3.8925664054335889</v>
      </c>
      <c r="R371" s="171"/>
      <c r="S371" s="151"/>
      <c r="T371" s="163">
        <f>(T370+T369)</f>
        <v>-76.856196938024993</v>
      </c>
      <c r="U371" s="154"/>
      <c r="V371" s="154">
        <f>((Y371+X371*-1)+X375)*10-T364+AH371*-1-V367*111</f>
        <v>10.407792530868434</v>
      </c>
      <c r="W371" s="154"/>
      <c r="X371" s="154">
        <f>(X375+AH371+Y371)</f>
        <v>-0.12096478324034088</v>
      </c>
      <c r="Y371" s="161">
        <f>(AH371*X375)</f>
        <v>5.6646891548236695</v>
      </c>
      <c r="Z371" s="161"/>
      <c r="AA371" s="191">
        <f>(AI372+AA372)/2</f>
        <v>973.84243701423566</v>
      </c>
      <c r="AB371" s="161"/>
      <c r="AC371" s="161"/>
      <c r="AD371" s="161"/>
      <c r="AE371" s="161"/>
      <c r="AF371" s="161"/>
      <c r="AG371" s="161">
        <f>(T367-T363)-(T363-U368)</f>
        <v>15.888405721038822</v>
      </c>
      <c r="AH371" s="152">
        <f>(AI371+T364+V367*10)</f>
        <v>-1.2485159528506902</v>
      </c>
      <c r="AI371" s="161">
        <f>X375</f>
        <v>-4.5371379852133202</v>
      </c>
      <c r="AJ371" s="162">
        <f>(AJ367*AJ366*10)</f>
        <v>-6.1241315859676329</v>
      </c>
      <c r="AK371" s="171"/>
      <c r="AL371" s="151"/>
      <c r="AM371" s="514">
        <f>(AM370+AM369)</f>
        <v>-76.803630829420001</v>
      </c>
      <c r="AN371" s="505"/>
      <c r="AO371" s="505">
        <f>((AR371+AQ371*-1)+AQ375)*10-AM364+BA371*-1-AO367*111</f>
        <v>10.308057916746975</v>
      </c>
      <c r="AP371" s="505"/>
      <c r="AQ371" s="505">
        <f>(AQ375+BA371+AR371)</f>
        <v>-8.672351688407165E-2</v>
      </c>
      <c r="AR371" s="512">
        <f>(BA371*AQ375)</f>
        <v>5.8187273591204072</v>
      </c>
      <c r="AS371" s="512"/>
      <c r="AT371" s="542">
        <f>(BB372+AT372)/2</f>
        <v>773.26485028244747</v>
      </c>
      <c r="AU371" s="512"/>
      <c r="AV371" s="512"/>
      <c r="AW371" s="512"/>
      <c r="AX371" s="512"/>
      <c r="AY371" s="512"/>
      <c r="AZ371" s="512">
        <f>(AM367-AM363)-(AM363-AN368)</f>
        <v>15.843868196632485</v>
      </c>
      <c r="BA371" s="503">
        <f>(BB371+AM364+AO367*10)</f>
        <v>-1.2498278623667847</v>
      </c>
      <c r="BB371" s="512">
        <f>AQ375</f>
        <v>-4.6556230136376939</v>
      </c>
      <c r="BC371" s="513">
        <f>(BC367*BC366*10)</f>
        <v>-3.1015654597026638</v>
      </c>
      <c r="BD371" s="502"/>
      <c r="BE371" s="502"/>
      <c r="BF371" s="514">
        <f>(BF370+BF369)</f>
        <v>-76.889800962206635</v>
      </c>
      <c r="BG371" s="505"/>
      <c r="BH371" s="505">
        <f>((BK371+BJ371*-1)+BJ375)*10-BF364+BT371*-1-BH367*111</f>
        <v>10.486239011239245</v>
      </c>
      <c r="BI371" s="505"/>
      <c r="BJ371" s="505">
        <f>(BJ375+BT371+BK371)</f>
        <v>-0.14900706343884984</v>
      </c>
      <c r="BK371" s="512">
        <f>(BT371*BJ375)</f>
        <v>5.5395570353076877</v>
      </c>
      <c r="BL371" s="512"/>
      <c r="BM371" s="542">
        <f>(BU372+BM372)/2</f>
        <v>773.62675051792939</v>
      </c>
      <c r="BN371" s="512"/>
      <c r="BO371" s="512"/>
      <c r="BP371" s="512"/>
      <c r="BQ371" s="512"/>
      <c r="BR371" s="512"/>
      <c r="BS371" s="512">
        <f>(BF367-BF363)-(BF363-BG368)</f>
        <v>15.92244894871078</v>
      </c>
      <c r="BT371" s="503">
        <f>(BU371+BF364+BH367*10)</f>
        <v>-1.2472900828689555</v>
      </c>
      <c r="BU371" s="512">
        <f>BJ375</f>
        <v>-4.4412740158775819</v>
      </c>
      <c r="BV371" s="513">
        <f>(BV367*BV366*10)</f>
        <v>-8.2401896065542068</v>
      </c>
      <c r="BW371" s="502"/>
      <c r="BX371" s="502"/>
      <c r="BY371" s="797"/>
      <c r="BZ371" s="797"/>
      <c r="CA371" s="797"/>
      <c r="CB371" s="797"/>
      <c r="CC371" s="797"/>
      <c r="CD371" s="797"/>
      <c r="CE371" s="797"/>
      <c r="CF371" s="797"/>
      <c r="CG371" s="797"/>
      <c r="CH371" s="797"/>
      <c r="CI371" s="797"/>
      <c r="CJ371" s="797"/>
      <c r="CK371" s="797"/>
      <c r="CL371" s="797"/>
      <c r="CM371" s="797"/>
      <c r="CN371" s="797"/>
      <c r="CO371" s="797"/>
      <c r="CP371" s="797"/>
      <c r="CQ371" s="797"/>
      <c r="CR371" s="797"/>
      <c r="CS371" s="797"/>
      <c r="CT371" s="797"/>
      <c r="CU371" s="797"/>
    </row>
    <row r="372" spans="1:99" x14ac:dyDescent="0.25">
      <c r="A372" s="163">
        <f>(A363+A371)</f>
        <v>147.81315069974443</v>
      </c>
      <c r="B372" s="154">
        <f>(A363+A372)/2</f>
        <v>186.2081636839784</v>
      </c>
      <c r="C372" s="154">
        <f>(E368-A363)-(A363-B372)</f>
        <v>-39.23593993331059</v>
      </c>
      <c r="D372" s="163">
        <f>(B368+C368)/2</f>
        <v>217.91171440976063</v>
      </c>
      <c r="E372" s="163">
        <f>(A367+A373)</f>
        <v>450.0472802855013</v>
      </c>
      <c r="F372" s="191">
        <f>(G369*2)-G376</f>
        <v>2867.0355288154983</v>
      </c>
      <c r="G372" s="191">
        <f>(A364*F372)</f>
        <v>9643.8697605647449</v>
      </c>
      <c r="H372" s="191">
        <f>(N374+P372)/2</f>
        <v>649.44660416748479</v>
      </c>
      <c r="I372" s="191"/>
      <c r="J372" s="191"/>
      <c r="K372" s="191"/>
      <c r="L372" s="191"/>
      <c r="M372" s="191"/>
      <c r="N372" s="191">
        <f>(O372+O373)/2</f>
        <v>1317.3509033315299</v>
      </c>
      <c r="O372" s="152">
        <f>(A366+C368)/2*Q377/Q369</f>
        <v>1246.8551362790809</v>
      </c>
      <c r="P372" s="152">
        <f>B365*Q377/Q369</f>
        <v>1297.8974792390102</v>
      </c>
      <c r="Q372" s="149">
        <f>(A368+B365)/2</f>
        <v>213.74303299853887</v>
      </c>
      <c r="R372" s="171"/>
      <c r="S372" s="151"/>
      <c r="T372" s="163">
        <f>(T363+T371)</f>
        <v>147.69656375338192</v>
      </c>
      <c r="U372" s="154">
        <f>(T363+T372)/2</f>
        <v>186.12466222239442</v>
      </c>
      <c r="V372" s="154">
        <f>(X368-T363)-(T363-U372)</f>
        <v>-39.249331677149542</v>
      </c>
      <c r="W372" s="163">
        <f>(U368+V368)/2</f>
        <v>217.90147366447204</v>
      </c>
      <c r="X372" s="163">
        <f>(T367+T373)</f>
        <v>449.92675459095085</v>
      </c>
      <c r="Y372" s="191">
        <f>(Z369*2)-Z376</f>
        <v>2710.6149037185419</v>
      </c>
      <c r="Z372" s="191">
        <f>(T364*Y372)</f>
        <v>8904.1878936193061</v>
      </c>
      <c r="AA372" s="191">
        <f>(AG374+AI372)/2</f>
        <v>649.56021913210941</v>
      </c>
      <c r="AB372" s="191"/>
      <c r="AC372" s="191"/>
      <c r="AD372" s="191"/>
      <c r="AE372" s="191"/>
      <c r="AF372" s="191"/>
      <c r="AG372" s="191">
        <f>(AH372+AH373)/2</f>
        <v>1317.5509076720107</v>
      </c>
      <c r="AH372" s="152">
        <f>(T366+V368)/2*AJ377/AJ369</f>
        <v>1247.0788801435979</v>
      </c>
      <c r="AI372" s="152">
        <f>U365*AJ377/AJ369</f>
        <v>1298.124654896362</v>
      </c>
      <c r="AJ372" s="149">
        <f>(T368+U365)/2</f>
        <v>213.71388626194823</v>
      </c>
      <c r="AK372" s="171"/>
      <c r="AL372" s="151"/>
      <c r="AM372" s="514">
        <f>(AM363+AM371)</f>
        <v>147.88329299235258</v>
      </c>
      <c r="AN372" s="505">
        <f>(AM363+AM372)/2</f>
        <v>186.28510840706258</v>
      </c>
      <c r="AO372" s="505">
        <f>(AQ368-AM363)-(AM363-AN372)</f>
        <v>-39.252416345646111</v>
      </c>
      <c r="AP372" s="514">
        <f>(AN368+AO368)/2</f>
        <v>217.97284480032755</v>
      </c>
      <c r="AQ372" s="514">
        <f>(AM367+AM373)</f>
        <v>450.22444857448124</v>
      </c>
      <c r="AR372" s="542">
        <f>(AS369*2)-AS376</f>
        <v>2948.6108495980056</v>
      </c>
      <c r="AS372" s="542">
        <f>(AM364*AR372)</f>
        <v>10032.364534545684</v>
      </c>
      <c r="AT372" s="542">
        <f>(AZ374+BB372)/2</f>
        <v>515.84014128357774</v>
      </c>
      <c r="AU372" s="542"/>
      <c r="AV372" s="542"/>
      <c r="AW372" s="542"/>
      <c r="AX372" s="542"/>
      <c r="AY372" s="542"/>
      <c r="AZ372" s="542">
        <f>(BA372+BA373)/2</f>
        <v>1046.1541210402756</v>
      </c>
      <c r="BA372" s="503">
        <f>(AM366+AO368)/2*BC377/BC369</f>
        <v>990.1409529238839</v>
      </c>
      <c r="BB372" s="503">
        <f>AN365*BC377/BC369</f>
        <v>1030.6895592813171</v>
      </c>
      <c r="BC372" s="500">
        <f>(AM368+AN365)/2</f>
        <v>213.81056857169091</v>
      </c>
      <c r="BD372" s="502"/>
      <c r="BE372" s="502"/>
      <c r="BF372" s="514">
        <f>(BF363+BF371)</f>
        <v>147.54323932982382</v>
      </c>
      <c r="BG372" s="505">
        <f>(BF363+BF372)/2</f>
        <v>185.98813981092712</v>
      </c>
      <c r="BH372" s="505">
        <f>(BJ368-BF363)-(BF363-BG372)</f>
        <v>-39.242407158233931</v>
      </c>
      <c r="BI372" s="514">
        <f>(BG368+BH368)/2</f>
        <v>217.83303770834868</v>
      </c>
      <c r="BJ372" s="514">
        <f>(BF367+BF373)</f>
        <v>449.66358726119154</v>
      </c>
      <c r="BK372" s="542">
        <f>(BL369*2)-BL376</f>
        <v>2527.0236841168908</v>
      </c>
      <c r="BL372" s="542">
        <f>(BF364*BK372)</f>
        <v>8061.2730454016155</v>
      </c>
      <c r="BM372" s="542">
        <f>(BS374+BU372)/2</f>
        <v>516.0814548140246</v>
      </c>
      <c r="BN372" s="542"/>
      <c r="BO372" s="542"/>
      <c r="BP372" s="542"/>
      <c r="BQ372" s="542"/>
      <c r="BR372" s="542"/>
      <c r="BS372" s="542">
        <f>(BT372+BT373)/2</f>
        <v>1046.5698659334075</v>
      </c>
      <c r="BT372" s="503">
        <f>(BF366+BH368)/2*BV377/BV369</f>
        <v>990.64144716789883</v>
      </c>
      <c r="BU372" s="503">
        <f>BG365*BV377/BV369</f>
        <v>1031.1720462218343</v>
      </c>
      <c r="BV372" s="500">
        <f>(BF368+BG365)/2</f>
        <v>213.62555515605874</v>
      </c>
      <c r="BW372" s="502"/>
      <c r="BX372" s="502"/>
      <c r="BY372" s="797"/>
      <c r="BZ372" s="797"/>
      <c r="CA372" s="797"/>
      <c r="CB372" s="797"/>
      <c r="CC372" s="797"/>
      <c r="CD372" s="797"/>
      <c r="CE372" s="797"/>
      <c r="CF372" s="797"/>
      <c r="CG372" s="797"/>
      <c r="CH372" s="797"/>
      <c r="CI372" s="797"/>
      <c r="CJ372" s="797"/>
      <c r="CK372" s="797"/>
      <c r="CL372" s="797"/>
      <c r="CM372" s="797"/>
      <c r="CN372" s="797"/>
      <c r="CO372" s="797"/>
      <c r="CP372" s="797"/>
      <c r="CQ372" s="797"/>
      <c r="CR372" s="797"/>
      <c r="CS372" s="797"/>
      <c r="CT372" s="797"/>
      <c r="CU372" s="797"/>
    </row>
    <row r="373" spans="1:99" x14ac:dyDescent="0.25">
      <c r="A373" s="163">
        <f>((A368+A367+A366+A365)/4-A368-A363)*-1</f>
        <v>205.40567017609536</v>
      </c>
      <c r="B373" s="154">
        <f>(B368+C368)/2</f>
        <v>217.91171440976063</v>
      </c>
      <c r="C373" s="154">
        <f>(E375+A364)</f>
        <v>-1.2524020900746109</v>
      </c>
      <c r="D373" s="163">
        <f>(A375+D374+A367+D374)/2</f>
        <v>379.70656915910462</v>
      </c>
      <c r="E373" s="163">
        <f>(A368+D374+A367)/3</f>
        <v>201.3665046966826</v>
      </c>
      <c r="F373" s="191">
        <f>(O373+P372)/2</f>
        <v>1342.8720748114947</v>
      </c>
      <c r="G373" s="149"/>
      <c r="H373" s="191">
        <f>(O373+P372+N372)/3</f>
        <v>1334.3650176515064</v>
      </c>
      <c r="I373" s="191"/>
      <c r="J373" s="191"/>
      <c r="K373" s="191"/>
      <c r="L373" s="191"/>
      <c r="M373" s="191"/>
      <c r="N373" s="191">
        <f>((A373+A367)/2)*Q377/Q369</f>
        <v>1310.1376381644593</v>
      </c>
      <c r="O373" s="152">
        <f>((A374+A365)/2)*Q377/Q369</f>
        <v>1387.846670383979</v>
      </c>
      <c r="P373" s="152">
        <f>B364*Q377/Q369</f>
        <v>1268.7304261190509</v>
      </c>
      <c r="Q373" s="162">
        <f>A364+E375</f>
        <v>-1.2524020900746109</v>
      </c>
      <c r="R373" s="171"/>
      <c r="S373" s="151"/>
      <c r="T373" s="163">
        <f>((T368+T367+T366+T365)/4-T368-T363)*-1</f>
        <v>205.33871145690068</v>
      </c>
      <c r="U373" s="154">
        <f>(U368+V368)/2</f>
        <v>217.90147366447204</v>
      </c>
      <c r="V373" s="154">
        <f>(X375+T364)</f>
        <v>-1.2522051526651978</v>
      </c>
      <c r="W373" s="163">
        <f>(T375+W374+T367+W374)/2</f>
        <v>379.58820977605751</v>
      </c>
      <c r="X373" s="163">
        <f>(T368+W374+T367)/3</f>
        <v>201.31188738847672</v>
      </c>
      <c r="Y373" s="191">
        <f>(AH373+AI372)/2</f>
        <v>1343.0737950483926</v>
      </c>
      <c r="Z373" s="149"/>
      <c r="AA373" s="191">
        <f>(AH373+AI372+AG372)/3</f>
        <v>1334.566165922932</v>
      </c>
      <c r="AB373" s="191"/>
      <c r="AC373" s="191"/>
      <c r="AD373" s="191"/>
      <c r="AE373" s="191"/>
      <c r="AF373" s="191"/>
      <c r="AG373" s="191">
        <f>((T373+T367)/2)*AJ377/AJ369</f>
        <v>1310.0808442501216</v>
      </c>
      <c r="AH373" s="152">
        <f>((T374+T365)/2)*AJ377/AJ369</f>
        <v>1388.0229352004235</v>
      </c>
      <c r="AI373" s="152">
        <f>U364*AJ377/AJ369</f>
        <v>1268.9556407519256</v>
      </c>
      <c r="AJ373" s="162">
        <f>T364+X375</f>
        <v>-1.2522051526651978</v>
      </c>
      <c r="AK373" s="171"/>
      <c r="AL373" s="151"/>
      <c r="AM373" s="514">
        <f>((AM368+AM367+AM366+AM365)/4-AM368-AM363)*-1</f>
        <v>205.48601611441757</v>
      </c>
      <c r="AN373" s="505">
        <f>(AN368+AO368)/2</f>
        <v>217.97284480032755</v>
      </c>
      <c r="AO373" s="505">
        <f>(AQ375+AM364)</f>
        <v>-1.2532192898931953</v>
      </c>
      <c r="AP373" s="514">
        <f>(AM375+AP374+AM367+AP374)/2</f>
        <v>379.85363075008001</v>
      </c>
      <c r="AQ373" s="514">
        <f>(AM368+AP374+AM367)/3</f>
        <v>201.4426347797062</v>
      </c>
      <c r="AR373" s="542">
        <f>(BA373+BB372)/2</f>
        <v>1066.4284242189924</v>
      </c>
      <c r="AS373" s="500"/>
      <c r="AT373" s="542">
        <f>(BA373+BB372+AZ372)/3</f>
        <v>1059.6703231594201</v>
      </c>
      <c r="AU373" s="542"/>
      <c r="AV373" s="542"/>
      <c r="AW373" s="542"/>
      <c r="AX373" s="542"/>
      <c r="AY373" s="542"/>
      <c r="AZ373" s="542">
        <f>((AM373+AM367)/2)*BC377/BC369</f>
        <v>1040.5187255943565</v>
      </c>
      <c r="BA373" s="503">
        <f>((AM374+AM365)/2)*BC377/BC369</f>
        <v>1102.1672891566675</v>
      </c>
      <c r="BB373" s="503">
        <f>AN364*BC377/BC369</f>
        <v>1007.5189270770695</v>
      </c>
      <c r="BC373" s="513">
        <f>AM364+AQ375</f>
        <v>-1.2532192898931953</v>
      </c>
      <c r="BD373" s="502"/>
      <c r="BE373" s="502"/>
      <c r="BF373" s="514">
        <f>((BF368+BF367+BF366+BF365)/4-BF368-BF363)*-1</f>
        <v>205.21059005147879</v>
      </c>
      <c r="BG373" s="505">
        <f>(BG368+BH368)/2</f>
        <v>217.83303770834868</v>
      </c>
      <c r="BH373" s="505">
        <f>(BJ375+BF364)</f>
        <v>-1.2512473073551575</v>
      </c>
      <c r="BI373" s="514">
        <f>(BF375+BI374+BF367+BI374)/2</f>
        <v>379.35669791137548</v>
      </c>
      <c r="BJ373" s="514">
        <f>(BF368+BI374+BF367)/3</f>
        <v>201.19678717804109</v>
      </c>
      <c r="BK373" s="542">
        <f>(BT373+BU372)/2</f>
        <v>1066.8351654603753</v>
      </c>
      <c r="BL373" s="500"/>
      <c r="BM373" s="542">
        <f>(BT373+BU372+BS372)/3</f>
        <v>1060.0800656180527</v>
      </c>
      <c r="BN373" s="542"/>
      <c r="BO373" s="542"/>
      <c r="BP373" s="542"/>
      <c r="BQ373" s="542"/>
      <c r="BR373" s="542"/>
      <c r="BS373" s="542">
        <f>((BF373+BF367)/2)*BV377/BV369</f>
        <v>1040.3981038592274</v>
      </c>
      <c r="BT373" s="503">
        <f>((BF374+BF365)/2)*BV377/BV369</f>
        <v>1102.498284698916</v>
      </c>
      <c r="BU373" s="503">
        <f>BG364*BV377/BV369</f>
        <v>1008.0117039052998</v>
      </c>
      <c r="BV373" s="513">
        <f>BF364+BJ375</f>
        <v>-1.2512473073551575</v>
      </c>
      <c r="BW373" s="502"/>
      <c r="BX373" s="502"/>
      <c r="BY373" s="797"/>
      <c r="BZ373" s="797"/>
      <c r="CA373" s="797"/>
      <c r="CB373" s="797"/>
      <c r="CC373" s="797"/>
      <c r="CD373" s="797"/>
      <c r="CE373" s="797"/>
      <c r="CF373" s="797"/>
      <c r="CG373" s="797"/>
      <c r="CH373" s="797"/>
      <c r="CI373" s="797"/>
      <c r="CJ373" s="797"/>
      <c r="CK373" s="797"/>
      <c r="CL373" s="797"/>
      <c r="CM373" s="797"/>
      <c r="CN373" s="797"/>
      <c r="CO373" s="797"/>
      <c r="CP373" s="797"/>
      <c r="CQ373" s="797"/>
      <c r="CR373" s="797"/>
      <c r="CS373" s="797"/>
      <c r="CT373" s="797"/>
      <c r="CU373" s="797"/>
    </row>
    <row r="374" spans="1:99" x14ac:dyDescent="0.25">
      <c r="A374" s="163">
        <f>((A368+A367+A366+A365)/4-A368-A363*-1)</f>
        <v>243.80068316032933</v>
      </c>
      <c r="B374" s="154">
        <f>B365/2</f>
        <v>111.46066138502951</v>
      </c>
      <c r="C374" s="154">
        <f>(B364+C368)/2</f>
        <v>216.65931231968602</v>
      </c>
      <c r="D374" s="163">
        <f>(A373+A372+B374)/3</f>
        <v>154.89316075362311</v>
      </c>
      <c r="E374" s="163">
        <f>(A368+A367+B374)/3</f>
        <v>186.88900490715139</v>
      </c>
      <c r="F374" s="149">
        <f>E371+(C378*-1)-E371-E375</f>
        <v>2.9517419761417205</v>
      </c>
      <c r="G374" s="149"/>
      <c r="H374" s="191">
        <f>(P374+N374)/2</f>
        <v>455.83518406691627</v>
      </c>
      <c r="I374" s="149"/>
      <c r="J374" s="149"/>
      <c r="K374" s="149"/>
      <c r="L374" s="149"/>
      <c r="M374" s="149"/>
      <c r="N374" s="191">
        <f>((N373+N372)/2/Q368)</f>
        <v>0.99572909595948345</v>
      </c>
      <c r="O374" s="152">
        <f>((A366+D372)/2)*Q377/Q369</f>
        <v>1254.146899559071</v>
      </c>
      <c r="P374" s="152">
        <f>((B374+E373)/2)*Q377/Q369</f>
        <v>910.67463903787302</v>
      </c>
      <c r="Q374" s="162">
        <f>(Q373*Q371/10)</f>
        <v>0.48750583019192417</v>
      </c>
      <c r="R374" s="171"/>
      <c r="S374" s="151"/>
      <c r="T374" s="163">
        <f>((T368+T367+T366+T365)/4-T368-T363*-1)</f>
        <v>243.76680992591315</v>
      </c>
      <c r="U374" s="154">
        <f>U365/2</f>
        <v>111.45514713756643</v>
      </c>
      <c r="V374" s="154">
        <f>(U364+V368)/2</f>
        <v>216.64926851180684</v>
      </c>
      <c r="W374" s="163">
        <f>(T373+T372+U374)/3</f>
        <v>154.83014078261635</v>
      </c>
      <c r="X374" s="163">
        <f>(T368+T367+U374)/3</f>
        <v>186.85355617346008</v>
      </c>
      <c r="Y374" s="149">
        <f>X371+(V378*-1)-X371-X375</f>
        <v>2.9449305160817545</v>
      </c>
      <c r="Z374" s="149"/>
      <c r="AA374" s="191">
        <f>(AI374+AG374)/2</f>
        <v>455.84989783213831</v>
      </c>
      <c r="AB374" s="149"/>
      <c r="AC374" s="149"/>
      <c r="AD374" s="149"/>
      <c r="AE374" s="149"/>
      <c r="AF374" s="149"/>
      <c r="AG374" s="191">
        <f>((AG373+AG372)/2/AJ368)</f>
        <v>0.9957833678567356</v>
      </c>
      <c r="AH374" s="152">
        <f>((T366+W372)/2)*AJ377/AJ369</f>
        <v>1254.3711336797071</v>
      </c>
      <c r="AI374" s="152">
        <f>((U374+X373)/2)*AJ377/AJ369</f>
        <v>910.70401229641993</v>
      </c>
      <c r="AJ374" s="162">
        <f>(AJ373*AJ371/10)</f>
        <v>0.76686691275483598</v>
      </c>
      <c r="AK374" s="171"/>
      <c r="AL374" s="151"/>
      <c r="AM374" s="514">
        <f>((AM368+AM367+AM366+AM365)/4-AM368-AM363*-1)</f>
        <v>243.8878315291276</v>
      </c>
      <c r="AN374" s="505">
        <f>AN365/2</f>
        <v>111.49286097995017</v>
      </c>
      <c r="AO374" s="505">
        <f>(AN364+AO368)/2</f>
        <v>216.71962551043435</v>
      </c>
      <c r="AP374" s="514">
        <f>(AM373+AM372+AN374)/3</f>
        <v>154.95405669557343</v>
      </c>
      <c r="AQ374" s="514">
        <f>(AM368+AM367+AN374)/3</f>
        <v>186.95556954116512</v>
      </c>
      <c r="AR374" s="500">
        <f>AQ371+(AO378*-1)-AQ371-AQ375</f>
        <v>2.963680930384669</v>
      </c>
      <c r="AS374" s="500"/>
      <c r="AT374" s="542">
        <f>(BB374+AZ374)/2</f>
        <v>362.10971229852214</v>
      </c>
      <c r="AU374" s="500"/>
      <c r="AV374" s="500"/>
      <c r="AW374" s="500"/>
      <c r="AX374" s="500"/>
      <c r="AY374" s="500"/>
      <c r="AZ374" s="542">
        <f>((AZ373+AZ372)/2/BC368)</f>
        <v>0.99072328583846592</v>
      </c>
      <c r="BA374" s="503">
        <f>((AM366+AP372)/2)*BC377/BC369</f>
        <v>995.93361097494585</v>
      </c>
      <c r="BB374" s="503">
        <f>((AN374+AQ373)/2)*BC377/BC369</f>
        <v>723.22870131120578</v>
      </c>
      <c r="BC374" s="513">
        <f>(BC373*BC371/10)</f>
        <v>0.38869416629658343</v>
      </c>
      <c r="BD374" s="502"/>
      <c r="BE374" s="502"/>
      <c r="BF374" s="514">
        <f>((BF368+BF367+BF366+BF365)/4-BF368-BF363*-1)</f>
        <v>243.65549053258212</v>
      </c>
      <c r="BG374" s="505">
        <f>BG365/2</f>
        <v>111.41901346888463</v>
      </c>
      <c r="BH374" s="505">
        <f>(BG364+BH368)/2</f>
        <v>216.58179040099355</v>
      </c>
      <c r="BI374" s="514">
        <f>(BF373+BF372+BG374)/3</f>
        <v>154.72428095006239</v>
      </c>
      <c r="BJ374" s="514">
        <f>(BF368+BF367+BG374)/3</f>
        <v>186.76169801764851</v>
      </c>
      <c r="BK374" s="500">
        <f>BJ371+(BH378*-1)-BJ371-BJ375</f>
        <v>2.9275130271168273</v>
      </c>
      <c r="BL374" s="500"/>
      <c r="BM374" s="542">
        <f>(BU374+BS374)/2</f>
        <v>362.1490050005313</v>
      </c>
      <c r="BN374" s="500"/>
      <c r="BO374" s="500"/>
      <c r="BP374" s="500"/>
      <c r="BQ374" s="500"/>
      <c r="BR374" s="500"/>
      <c r="BS374" s="542">
        <f>((BS373+BS372)/2/BV368)</f>
        <v>0.99086340621492797</v>
      </c>
      <c r="BT374" s="503">
        <f>((BF366+BI372)/2)*BV377/BV369</f>
        <v>996.43153274703252</v>
      </c>
      <c r="BU374" s="503">
        <f>((BG374+BJ373)/2)*BV377/BV369</f>
        <v>723.30714659484772</v>
      </c>
      <c r="BV374" s="513">
        <f>(BV373*BV371/10)</f>
        <v>1.0310515057296905</v>
      </c>
      <c r="BW374" s="502"/>
      <c r="BX374" s="502"/>
      <c r="BY374" s="797"/>
      <c r="BZ374" s="797"/>
      <c r="CA374" s="797"/>
      <c r="CB374" s="797"/>
      <c r="CC374" s="797"/>
      <c r="CD374" s="797"/>
      <c r="CE374" s="797"/>
      <c r="CF374" s="797"/>
      <c r="CG374" s="797"/>
      <c r="CH374" s="797"/>
      <c r="CI374" s="797"/>
      <c r="CJ374" s="797"/>
      <c r="CK374" s="797"/>
      <c r="CL374" s="797"/>
      <c r="CM374" s="797"/>
      <c r="CN374" s="797"/>
      <c r="CO374" s="797"/>
      <c r="CP374" s="797"/>
      <c r="CQ374" s="797"/>
      <c r="CR374" s="797"/>
      <c r="CS374" s="797"/>
      <c r="CT374" s="797"/>
      <c r="CU374" s="797"/>
    </row>
    <row r="375" spans="1:99" x14ac:dyDescent="0.25">
      <c r="A375" s="163">
        <f>(A368+A373)/2</f>
        <v>204.98520670155705</v>
      </c>
      <c r="B375" s="154">
        <f>(A365+B367)/2</f>
        <v>230.43573531050663</v>
      </c>
      <c r="C375" s="154">
        <f>(A364*C367)</f>
        <v>1.1732354770281877E-3</v>
      </c>
      <c r="D375" s="154">
        <f>(A365+B375)/2</f>
        <v>231.68813740058124</v>
      </c>
      <c r="E375" s="154">
        <f>(D375-A363)-(A363-A366)</f>
        <v>-4.6161098863812242</v>
      </c>
      <c r="F375" s="191">
        <f>(N375+H375)/2</f>
        <v>1361.7396569953817</v>
      </c>
      <c r="G375" s="149"/>
      <c r="H375" s="314">
        <f>A374*Q377/Q369</f>
        <v>1419.4617552890286</v>
      </c>
      <c r="I375" s="149"/>
      <c r="J375" s="149"/>
      <c r="K375" s="149"/>
      <c r="L375" s="149"/>
      <c r="M375" s="149"/>
      <c r="N375" s="191">
        <f>(N373+P372)/2</f>
        <v>1304.0175587017347</v>
      </c>
      <c r="O375" s="152">
        <f>((E372+A372)/2)*Q377/Q369</f>
        <v>1740.4381435348268</v>
      </c>
      <c r="P375" s="152">
        <f>((E373+E375/10)/2)*Q377/Q369</f>
        <v>584.85646835008515</v>
      </c>
      <c r="Q375" s="163">
        <f>(Q374+C378)</f>
        <v>2.1518737404314279</v>
      </c>
      <c r="R375" s="171"/>
      <c r="S375" s="151"/>
      <c r="T375" s="163">
        <f>(T368+T373)/2</f>
        <v>204.92809485283215</v>
      </c>
      <c r="U375" s="154">
        <f>(T365+U367)/2</f>
        <v>230.4235251911241</v>
      </c>
      <c r="V375" s="154">
        <f>(T364*V367)</f>
        <v>1.2118773596506481E-3</v>
      </c>
      <c r="W375" s="154">
        <f>(T365+U375)/2</f>
        <v>231.6757303437893</v>
      </c>
      <c r="X375" s="154">
        <f>(W375-T363)-(T363-T366)</f>
        <v>-4.5371379852133202</v>
      </c>
      <c r="Y375" s="191">
        <f>(AG375+AA375)/2</f>
        <v>1361.8429683944269</v>
      </c>
      <c r="Z375" s="149"/>
      <c r="AA375" s="314">
        <f>T374*AJ377/AJ369</f>
        <v>1419.583187215612</v>
      </c>
      <c r="AB375" s="149"/>
      <c r="AC375" s="149"/>
      <c r="AD375" s="149"/>
      <c r="AE375" s="149"/>
      <c r="AF375" s="149"/>
      <c r="AG375" s="191">
        <f>(AG373+AI372)/2</f>
        <v>1304.1027495732419</v>
      </c>
      <c r="AH375" s="152">
        <f>((X372+T372)/2)*AJ377/AJ369</f>
        <v>1740.138485767322</v>
      </c>
      <c r="AI375" s="152">
        <f>((X373+X375/10)/2)*AJ377/AJ369</f>
        <v>584.85174074722306</v>
      </c>
      <c r="AJ375" s="163">
        <f>(AJ374+V378)</f>
        <v>2.3590743818864017</v>
      </c>
      <c r="AK375" s="171"/>
      <c r="AL375" s="151"/>
      <c r="AM375" s="514">
        <f>(AM368+AM373)/2</f>
        <v>205.0607156489495</v>
      </c>
      <c r="AN375" s="505">
        <f>(AM365+AN367)/2</f>
        <v>230.5050376992595</v>
      </c>
      <c r="AO375" s="505">
        <f>(AM364*AO367)</f>
        <v>1.1539005644669454E-3</v>
      </c>
      <c r="AP375" s="505">
        <f>(AM365+AN375)/2</f>
        <v>231.7582569891527</v>
      </c>
      <c r="AQ375" s="505">
        <f>(AP375-AM363)-(AM363-AM366)</f>
        <v>-4.6556230136376939</v>
      </c>
      <c r="AR375" s="542">
        <f>(AZ375+AT375)/2</f>
        <v>1081.45394853068</v>
      </c>
      <c r="AS375" s="500"/>
      <c r="AT375" s="650">
        <f>AM374*BC377/BC369</f>
        <v>1127.303754623523</v>
      </c>
      <c r="AU375" s="500"/>
      <c r="AV375" s="500"/>
      <c r="AW375" s="500"/>
      <c r="AX375" s="500"/>
      <c r="AY375" s="500"/>
      <c r="AZ375" s="542">
        <f>(AZ373+BB372)/2</f>
        <v>1035.6041424378368</v>
      </c>
      <c r="BA375" s="503">
        <f>((AQ372+AM372)/2)*BC377/BC369</f>
        <v>1382.2934471766828</v>
      </c>
      <c r="BB375" s="503">
        <f>((AQ373+AQ375/10)/2)*BC377/BC369</f>
        <v>464.48034528328031</v>
      </c>
      <c r="BC375" s="514">
        <f>(BC374+AO378)</f>
        <v>2.0806362495496082</v>
      </c>
      <c r="BD375" s="502"/>
      <c r="BE375" s="502"/>
      <c r="BF375" s="514">
        <f>(BF368+BF373)/2</f>
        <v>204.81183671291348</v>
      </c>
      <c r="BG375" s="505">
        <f>(BF365+BG367)/2</f>
        <v>230.34551078190009</v>
      </c>
      <c r="BH375" s="505">
        <f>(BF364*BH367)</f>
        <v>1.2623651802603625E-3</v>
      </c>
      <c r="BI375" s="505">
        <f>(BF365+BG375)/2</f>
        <v>231.59675808925522</v>
      </c>
      <c r="BJ375" s="505">
        <f>(BI375-BF363)-(BF363-BF366)</f>
        <v>-4.4412740158775819</v>
      </c>
      <c r="BK375" s="542">
        <f>(BS375+BM375)/2</f>
        <v>1081.6444567917299</v>
      </c>
      <c r="BL375" s="500"/>
      <c r="BM375" s="650">
        <f>BF374*BV377/BV369</f>
        <v>1127.5038385429289</v>
      </c>
      <c r="BN375" s="500"/>
      <c r="BO375" s="500"/>
      <c r="BP375" s="500"/>
      <c r="BQ375" s="500"/>
      <c r="BR375" s="500"/>
      <c r="BS375" s="542">
        <f>(BS373+BU372)/2</f>
        <v>1035.785075040531</v>
      </c>
      <c r="BT375" s="503">
        <f>((BJ372+BF372)/2)*BV377/BV369</f>
        <v>1381.7726576027412</v>
      </c>
      <c r="BU375" s="503">
        <f>((BJ373+BJ375/10)/2)*BV377/BV369</f>
        <v>464.48654614944098</v>
      </c>
      <c r="BV375" s="514">
        <f>(BV374+BH378)</f>
        <v>2.5448124944904453</v>
      </c>
      <c r="BW375" s="502"/>
      <c r="BX375" s="502"/>
      <c r="BY375" s="797"/>
      <c r="BZ375" s="797"/>
      <c r="CA375" s="797"/>
      <c r="CB375" s="797"/>
      <c r="CC375" s="797"/>
      <c r="CD375" s="797"/>
      <c r="CE375" s="797"/>
      <c r="CF375" s="797"/>
      <c r="CG375" s="797"/>
      <c r="CH375" s="797"/>
      <c r="CI375" s="797"/>
      <c r="CJ375" s="797"/>
      <c r="CK375" s="797"/>
      <c r="CL375" s="797"/>
      <c r="CM375" s="797"/>
      <c r="CN375" s="797"/>
      <c r="CO375" s="797"/>
      <c r="CP375" s="797"/>
      <c r="CQ375" s="797"/>
      <c r="CR375" s="797"/>
      <c r="CS375" s="797"/>
      <c r="CT375" s="797"/>
      <c r="CU375" s="797"/>
    </row>
    <row r="376" spans="1:99" x14ac:dyDescent="0.25">
      <c r="A376" s="163">
        <f>(A364*-1)+A371</f>
        <v>-80.153733764774529</v>
      </c>
      <c r="B376" s="163">
        <f>(A377*-1)+A376</f>
        <v>-6.7274155926132266</v>
      </c>
      <c r="C376" s="163">
        <f>(B376/2)+A364</f>
        <v>0</v>
      </c>
      <c r="D376" s="154"/>
      <c r="E376" s="163">
        <f>(C376*A364)+D369</f>
        <v>7.6933839305113949</v>
      </c>
      <c r="F376" s="191">
        <f>A372*Q377/Q377</f>
        <v>147.81315069974443</v>
      </c>
      <c r="G376" s="191">
        <f>(E376+F376)</f>
        <v>155.50653463025583</v>
      </c>
      <c r="H376" s="149">
        <f>(O377+H374)/2</f>
        <v>1538.0552301979174</v>
      </c>
      <c r="I376" s="149"/>
      <c r="J376" s="149"/>
      <c r="K376" s="149"/>
      <c r="L376" s="149"/>
      <c r="M376" s="149"/>
      <c r="N376" s="191">
        <f>(O373+H373+O373)/3</f>
        <v>1370.0194528064883</v>
      </c>
      <c r="O376" s="152">
        <f>((B367+E375)/2)*Q377/Q369</f>
        <v>650.0942573991307</v>
      </c>
      <c r="P376" s="152">
        <f>D372*Q377/Q369</f>
        <v>1268.7304261190509</v>
      </c>
      <c r="Q376" s="248">
        <f>((Q375*Q374*C378*-1)*Q377*Q366*Q367)*-3.444</f>
        <v>-12.265249681232978</v>
      </c>
      <c r="R376" s="171"/>
      <c r="S376" s="151"/>
      <c r="T376" s="163">
        <f>(T364*-1)+T371</f>
        <v>-80.141129770573116</v>
      </c>
      <c r="U376" s="163">
        <f>(T377*-1)+T376</f>
        <v>-6.5698656650962448</v>
      </c>
      <c r="V376" s="163">
        <f>(U376/2)+T364</f>
        <v>0</v>
      </c>
      <c r="W376" s="154"/>
      <c r="X376" s="163">
        <f>(V376*T364)+W369</f>
        <v>7.6530511490670463</v>
      </c>
      <c r="Y376" s="191">
        <f>T372*AJ377/AJ377</f>
        <v>147.69656375338192</v>
      </c>
      <c r="Z376" s="191">
        <f>(X376+Y376)</f>
        <v>155.34961490244896</v>
      </c>
      <c r="AA376" s="149">
        <f>(AH377+AA374)/2</f>
        <v>1538.0057931661906</v>
      </c>
      <c r="AB376" s="149"/>
      <c r="AC376" s="149"/>
      <c r="AD376" s="149"/>
      <c r="AE376" s="149"/>
      <c r="AF376" s="149"/>
      <c r="AG376" s="191">
        <f>(AH373+AA373+AH373)/3</f>
        <v>1370.2040121079262</v>
      </c>
      <c r="AH376" s="152">
        <f>((U367+X375)/2)*AJ377/AJ369</f>
        <v>650.43575626933693</v>
      </c>
      <c r="AI376" s="152">
        <f>W372*AJ377/AJ369</f>
        <v>1268.9556407519256</v>
      </c>
      <c r="AJ376" s="248">
        <f>((AJ375*AJ374*V378*-1)*AJ377*AJ366*AJ367)*-3.444</f>
        <v>-18.043691663576595</v>
      </c>
      <c r="AK376" s="171"/>
      <c r="AL376" s="151"/>
      <c r="AM376" s="514">
        <f>(AM364*-1)+AM371</f>
        <v>-80.2060345531645</v>
      </c>
      <c r="AN376" s="514">
        <f>(AM377*-1)+AM376</f>
        <v>-6.8048074474889972</v>
      </c>
      <c r="AO376" s="514">
        <f>(AN376/2)+AM364</f>
        <v>0</v>
      </c>
      <c r="AP376" s="505"/>
      <c r="AQ376" s="514">
        <f>(AO376*AM364)+AP369</f>
        <v>7.7166544533595882</v>
      </c>
      <c r="AR376" s="542">
        <f>AM372*BC377/BC377</f>
        <v>147.88329299235258</v>
      </c>
      <c r="AS376" s="542">
        <f>(AQ376+AR376)</f>
        <v>155.59994744571216</v>
      </c>
      <c r="AT376" s="500">
        <f>(BA377+AT374)/2</f>
        <v>1221.5735817436175</v>
      </c>
      <c r="AU376" s="500"/>
      <c r="AV376" s="500"/>
      <c r="AW376" s="500"/>
      <c r="AX376" s="500"/>
      <c r="AY376" s="500"/>
      <c r="AZ376" s="542">
        <f>(BA373+AT373+BA373)/3</f>
        <v>1088.0016338242519</v>
      </c>
      <c r="BA376" s="503">
        <f>((AN367+AQ375)/2)*BC377/BC369</f>
        <v>516.17043366681958</v>
      </c>
      <c r="BB376" s="503">
        <f>AP372*BC377/BC369</f>
        <v>1007.5189270770695</v>
      </c>
      <c r="BC376" s="590">
        <f>((BC375*BC374*AO378*-1)*BC377*BC366*BC367)*-3.444</f>
        <v>-6.080329304180025</v>
      </c>
      <c r="BD376" s="502"/>
      <c r="BE376" s="502"/>
      <c r="BF376" s="514">
        <f>(BF364*-1)+BF371</f>
        <v>-80.07982767072906</v>
      </c>
      <c r="BG376" s="514">
        <f>(BF377*-1)+BF376</f>
        <v>-6.3800534170448486</v>
      </c>
      <c r="BH376" s="514">
        <f>(BG376/2)+BF364</f>
        <v>0</v>
      </c>
      <c r="BI376" s="505"/>
      <c r="BJ376" s="514">
        <f>(BH376*BF364)+BI369</f>
        <v>7.6010004295658931</v>
      </c>
      <c r="BK376" s="542">
        <f>BF372*BV377/BV377</f>
        <v>147.54323932982382</v>
      </c>
      <c r="BL376" s="542">
        <f>(BJ376+BK376)</f>
        <v>155.14423975938971</v>
      </c>
      <c r="BM376" s="500">
        <f>(BT377+BM374)/2</f>
        <v>1221.4726063594931</v>
      </c>
      <c r="BN376" s="500"/>
      <c r="BO376" s="500"/>
      <c r="BP376" s="500"/>
      <c r="BQ376" s="500"/>
      <c r="BR376" s="500"/>
      <c r="BS376" s="542">
        <f>(BT373+BM373+BT373)/3</f>
        <v>1088.3588783386283</v>
      </c>
      <c r="BT376" s="503">
        <f>((BG367+BJ375)/2)*BV377/BV369</f>
        <v>516.89030536970279</v>
      </c>
      <c r="BU376" s="503">
        <f>BI372*BV377/BV369</f>
        <v>1008.0117039052998</v>
      </c>
      <c r="BV376" s="590">
        <f>((BV375*BV374*BH378*-1)*BV377*BV366*BV367)*-3.444</f>
        <v>-26.601480550353134</v>
      </c>
      <c r="BW376" s="502"/>
      <c r="BX376" s="502"/>
      <c r="BY376" s="797"/>
      <c r="BZ376" s="797"/>
      <c r="CA376" s="797"/>
      <c r="CB376" s="797"/>
      <c r="CC376" s="797"/>
      <c r="CD376" s="797"/>
      <c r="CE376" s="797"/>
      <c r="CF376" s="797"/>
      <c r="CG376" s="797"/>
      <c r="CH376" s="797"/>
      <c r="CI376" s="797"/>
      <c r="CJ376" s="797"/>
      <c r="CK376" s="797"/>
      <c r="CL376" s="797"/>
      <c r="CM376" s="797"/>
      <c r="CN376" s="797"/>
      <c r="CO376" s="797"/>
      <c r="CP376" s="797"/>
      <c r="CQ376" s="797"/>
      <c r="CR376" s="797"/>
      <c r="CS376" s="797"/>
      <c r="CT376" s="797"/>
      <c r="CU376" s="797"/>
    </row>
    <row r="377" spans="1:99" x14ac:dyDescent="0.25">
      <c r="A377" s="163">
        <f>A364+A371</f>
        <v>-73.426318172161302</v>
      </c>
      <c r="B377" s="163">
        <f>(A378+(A376*-1)+A377)</f>
        <v>-146.8526363443226</v>
      </c>
      <c r="C377" s="154">
        <f>(B377/10)</f>
        <v>-14.68526363443226</v>
      </c>
      <c r="D377" s="154"/>
      <c r="E377" s="154">
        <f>((D373+B374)/2)*Q377</f>
        <v>1286.8581440256314</v>
      </c>
      <c r="F377" s="149">
        <f>((E372+B374)/2)*Q377/Q369</f>
        <v>1634.6120079742118</v>
      </c>
      <c r="G377" s="149"/>
      <c r="H377" s="149">
        <f>(Q378/2)</f>
        <v>588.46032287071637</v>
      </c>
      <c r="I377" s="149"/>
      <c r="J377" s="149"/>
      <c r="K377" s="149"/>
      <c r="L377" s="149"/>
      <c r="M377" s="149"/>
      <c r="N377" s="191">
        <f>(Q378/2)/Q369</f>
        <v>653.84480318968485</v>
      </c>
      <c r="O377" s="152">
        <f>E372*Q377/Q369</f>
        <v>2620.2752763289186</v>
      </c>
      <c r="P377" s="152">
        <f>((B364+A367)/2)*Q377/Q369</f>
        <v>1346.5441224891294</v>
      </c>
      <c r="Q377" s="322">
        <f>ROUND(O370,N378)</f>
        <v>5.24</v>
      </c>
      <c r="R377" s="171"/>
      <c r="S377" s="151"/>
      <c r="T377" s="163">
        <f>T364+T371</f>
        <v>-73.571264105476871</v>
      </c>
      <c r="U377" s="163">
        <f>(T378+(T376*-1)+T377)</f>
        <v>-147.14252821095374</v>
      </c>
      <c r="V377" s="154">
        <f>(U377/10)</f>
        <v>-14.714252821095375</v>
      </c>
      <c r="W377" s="154"/>
      <c r="X377" s="154">
        <f>((W373+U374)/2)*AJ377</f>
        <v>729.19938501673164</v>
      </c>
      <c r="Y377" s="149">
        <f>((X372+U374)/2)*AJ377/AJ369</f>
        <v>1634.612007974212</v>
      </c>
      <c r="Z377" s="149"/>
      <c r="AA377" s="149">
        <f>(AJ378/2)</f>
        <v>333.46084962673928</v>
      </c>
      <c r="AB377" s="149"/>
      <c r="AC377" s="149"/>
      <c r="AD377" s="149"/>
      <c r="AE377" s="149"/>
      <c r="AF377" s="149"/>
      <c r="AG377" s="191">
        <f>(AJ378/2)/AJ369</f>
        <v>653.84480318968485</v>
      </c>
      <c r="AH377" s="152">
        <f>X372*AJ377/AJ369</f>
        <v>2620.1616885002431</v>
      </c>
      <c r="AI377" s="152">
        <f>((U364+T367)/2)*AJ377/AJ369</f>
        <v>1346.6606518545207</v>
      </c>
      <c r="AJ377" s="322">
        <f>ROUND(AH370,AG378)</f>
        <v>2.97</v>
      </c>
      <c r="AK377" s="171"/>
      <c r="AL377" s="151"/>
      <c r="AM377" s="514">
        <f>AM364+AM371</f>
        <v>-73.401227105675503</v>
      </c>
      <c r="AN377" s="514">
        <f>(AM378+(AM376*-1)+AM377)</f>
        <v>-146.80245421135101</v>
      </c>
      <c r="AO377" s="505">
        <f>(AN377/10)</f>
        <v>-14.680245421135101</v>
      </c>
      <c r="AP377" s="505"/>
      <c r="AQ377" s="505">
        <f>((AP373+AN374)/2)*BC377</f>
        <v>1022.0007027984627</v>
      </c>
      <c r="AR377" s="500">
        <f>((AQ372+AN374)/2)*BC377/BC369</f>
        <v>1298.191115414686</v>
      </c>
      <c r="AS377" s="500"/>
      <c r="AT377" s="500">
        <f>(BC378/2)</f>
        <v>467.34880154928697</v>
      </c>
      <c r="AU377" s="500"/>
      <c r="AV377" s="500"/>
      <c r="AW377" s="500"/>
      <c r="AX377" s="500"/>
      <c r="AY377" s="500"/>
      <c r="AZ377" s="542">
        <f>(BC378/2)/BC369</f>
        <v>519.2764461658744</v>
      </c>
      <c r="BA377" s="503">
        <f>AQ372*BC377/BC369</f>
        <v>2081.037451188713</v>
      </c>
      <c r="BB377" s="503">
        <f>((AN364+AM367)/2)*BC377/BC369</f>
        <v>1069.3771741129044</v>
      </c>
      <c r="BC377" s="656">
        <f>ROUND(BA370,AZ378)</f>
        <v>4.16</v>
      </c>
      <c r="BD377" s="502"/>
      <c r="BE377" s="502"/>
      <c r="BF377" s="514">
        <f>BF364+BF371</f>
        <v>-73.699774253684211</v>
      </c>
      <c r="BG377" s="514">
        <f>(BF378+(BF376*-1)+BF377)</f>
        <v>-147.39954850736842</v>
      </c>
      <c r="BH377" s="505">
        <f>(BG377/10)</f>
        <v>-14.739954850736842</v>
      </c>
      <c r="BI377" s="505"/>
      <c r="BJ377" s="505">
        <f>((BI373+BG374)/2)*BV377</f>
        <v>579.11533942870687</v>
      </c>
      <c r="BK377" s="500">
        <f>((BJ372+BG374)/2)*BV377/BV369</f>
        <v>1298.191115414686</v>
      </c>
      <c r="BL377" s="500"/>
      <c r="BM377" s="500">
        <f>(BV378/2)</f>
        <v>264.83098754459593</v>
      </c>
      <c r="BN377" s="500"/>
      <c r="BO377" s="500"/>
      <c r="BP377" s="500"/>
      <c r="BQ377" s="500"/>
      <c r="BR377" s="500"/>
      <c r="BS377" s="542">
        <f>(BV378/2)/BV369</f>
        <v>519.2764461658744</v>
      </c>
      <c r="BT377" s="503">
        <f>BJ372*BV377/BV369</f>
        <v>2080.7962077184548</v>
      </c>
      <c r="BU377" s="503">
        <f>((BG364+BF367)/2)*BV377/BV369</f>
        <v>1069.6029827515929</v>
      </c>
      <c r="BV377" s="656">
        <f>ROUND(BT370,BS378)</f>
        <v>2.36</v>
      </c>
      <c r="BW377" s="502"/>
      <c r="BX377" s="502"/>
      <c r="BY377" s="797"/>
      <c r="BZ377" s="797"/>
      <c r="CA377" s="797"/>
      <c r="CB377" s="797"/>
      <c r="CC377" s="797"/>
      <c r="CD377" s="797"/>
      <c r="CE377" s="797"/>
      <c r="CF377" s="797"/>
      <c r="CG377" s="797"/>
      <c r="CH377" s="797"/>
      <c r="CI377" s="797"/>
      <c r="CJ377" s="797"/>
      <c r="CK377" s="797"/>
      <c r="CL377" s="797"/>
      <c r="CM377" s="797"/>
      <c r="CN377" s="797"/>
      <c r="CO377" s="797"/>
      <c r="CP377" s="797"/>
      <c r="CQ377" s="797"/>
      <c r="CR377" s="797"/>
      <c r="CS377" s="797"/>
      <c r="CT377" s="797"/>
      <c r="CU377" s="797"/>
    </row>
    <row r="378" spans="1:99" x14ac:dyDescent="0.25">
      <c r="A378" s="191">
        <f>(A376+A377)</f>
        <v>-153.58005193693583</v>
      </c>
      <c r="B378" s="149"/>
      <c r="C378" s="162">
        <f>INT(C371)-C371+N378</f>
        <v>1.6643679102395037</v>
      </c>
      <c r="D378" s="149"/>
      <c r="E378" s="191" t="s">
        <v>53</v>
      </c>
      <c r="F378" s="149">
        <f>((O378+B374+E372)/3)*Q377/Q369</f>
        <v>4025.4056937647297</v>
      </c>
      <c r="G378" s="149"/>
      <c r="H378" s="149">
        <f>ROUND(H377,2)</f>
        <v>588.46</v>
      </c>
      <c r="I378" s="149"/>
      <c r="J378" s="149"/>
      <c r="K378" s="149"/>
      <c r="L378" s="149"/>
      <c r="M378" s="149"/>
      <c r="N378" s="149">
        <v>2</v>
      </c>
      <c r="O378" s="152">
        <f>((B364+B374+E372)/3)*Q377/Q369</f>
        <v>1512.6514806891582</v>
      </c>
      <c r="P378" s="191">
        <f>(Q378/Q377)</f>
        <v>224.60317666821234</v>
      </c>
      <c r="Q378" s="152">
        <f>P364*Q369</f>
        <v>1176.9206457414327</v>
      </c>
      <c r="R378" s="171"/>
      <c r="S378" s="151"/>
      <c r="T378" s="191">
        <f>(T376+T377)</f>
        <v>-153.71239387604999</v>
      </c>
      <c r="U378" s="149"/>
      <c r="V378" s="162">
        <f>INT(V371)-V371+AG378</f>
        <v>1.5922074691315657</v>
      </c>
      <c r="W378" s="149"/>
      <c r="X378" s="191" t="s">
        <v>53</v>
      </c>
      <c r="Y378" s="149">
        <f>((AH378+U374+X372)/3)*AJ377/AJ369</f>
        <v>4026.2105282791135</v>
      </c>
      <c r="Z378" s="149"/>
      <c r="AA378" s="149">
        <f>ROUND(AA377,2)</f>
        <v>333.46</v>
      </c>
      <c r="AB378" s="149"/>
      <c r="AC378" s="149"/>
      <c r="AD378" s="149"/>
      <c r="AE378" s="149"/>
      <c r="AF378" s="149"/>
      <c r="AG378" s="149">
        <v>2</v>
      </c>
      <c r="AH378" s="152">
        <f>((U364+U374+X372)/3)*AJ377/AJ369</f>
        <v>1512.7265522334501</v>
      </c>
      <c r="AI378" s="191">
        <f>(AJ378/AJ377)</f>
        <v>224.55276069140692</v>
      </c>
      <c r="AJ378" s="152">
        <f>AI364*AJ369</f>
        <v>666.92169925347855</v>
      </c>
      <c r="AK378" s="171"/>
      <c r="AL378" s="151"/>
      <c r="AM378" s="542">
        <f>(AM376+AM377)</f>
        <v>-153.60726165884</v>
      </c>
      <c r="AN378" s="500"/>
      <c r="AO378" s="513">
        <f>INT(AO371)-AO371+AZ378</f>
        <v>1.691942083253025</v>
      </c>
      <c r="AP378" s="500"/>
      <c r="AQ378" s="542" t="s">
        <v>53</v>
      </c>
      <c r="AR378" s="500">
        <f>((BA378+AN374+AQ372)/3)*BC377/BC369</f>
        <v>2716.3531901395181</v>
      </c>
      <c r="AS378" s="500"/>
      <c r="AT378" s="500">
        <f>ROUND(AT377,2)</f>
        <v>467.35</v>
      </c>
      <c r="AU378" s="500"/>
      <c r="AV378" s="500"/>
      <c r="AW378" s="500"/>
      <c r="AX378" s="500"/>
      <c r="AY378" s="500"/>
      <c r="AZ378" s="500">
        <v>2</v>
      </c>
      <c r="BA378" s="503">
        <f>((AN364+AN374+AQ372)/3)*BC377/BC369</f>
        <v>1201.3003859688138</v>
      </c>
      <c r="BB378" s="542">
        <f>(BC378/BC377)</f>
        <v>224.68692382177258</v>
      </c>
      <c r="BC378" s="503">
        <f>BB364*BC369</f>
        <v>934.69760309857395</v>
      </c>
      <c r="BD378" s="502"/>
      <c r="BE378" s="502"/>
      <c r="BF378" s="542">
        <f>(BF376+BF377)</f>
        <v>-153.77960192441327</v>
      </c>
      <c r="BG378" s="500"/>
      <c r="BH378" s="513">
        <f>INT(BH371)-BH371+BS378</f>
        <v>1.5137609887607546</v>
      </c>
      <c r="BI378" s="500"/>
      <c r="BJ378" s="542" t="s">
        <v>53</v>
      </c>
      <c r="BK378" s="500">
        <f>((BT378+BG374+BJ372)/3)*BV377/BV369</f>
        <v>2718.7003266106235</v>
      </c>
      <c r="BL378" s="500"/>
      <c r="BM378" s="500">
        <f>ROUND(BM377,2)</f>
        <v>264.83</v>
      </c>
      <c r="BN378" s="500"/>
      <c r="BO378" s="500"/>
      <c r="BP378" s="500"/>
      <c r="BQ378" s="500"/>
      <c r="BR378" s="500"/>
      <c r="BS378" s="500">
        <v>2</v>
      </c>
      <c r="BT378" s="503">
        <f>((BG364+BG374+BJ372)/3)*BV377/BV369</f>
        <v>1201.4646449115571</v>
      </c>
      <c r="BU378" s="542">
        <f>(BV378/BV377)</f>
        <v>224.43304029203046</v>
      </c>
      <c r="BV378" s="503">
        <f>BU364*BV369</f>
        <v>529.66197508919186</v>
      </c>
      <c r="BW378" s="502"/>
      <c r="BX378" s="502"/>
      <c r="BY378" s="797"/>
      <c r="BZ378" s="797"/>
      <c r="CA378" s="797"/>
      <c r="CB378" s="797"/>
      <c r="CC378" s="797"/>
      <c r="CD378" s="797"/>
      <c r="CE378" s="797"/>
      <c r="CF378" s="797"/>
      <c r="CG378" s="797"/>
      <c r="CH378" s="797"/>
      <c r="CI378" s="797"/>
      <c r="CJ378" s="797"/>
      <c r="CK378" s="797"/>
      <c r="CL378" s="797"/>
      <c r="CM378" s="797"/>
      <c r="CN378" s="797"/>
      <c r="CO378" s="797"/>
      <c r="CP378" s="797"/>
      <c r="CQ378" s="797"/>
      <c r="CR378" s="797"/>
      <c r="CS378" s="797"/>
      <c r="CT378" s="797"/>
      <c r="CU378" s="797"/>
    </row>
    <row r="379" spans="1:99" x14ac:dyDescent="0.25">
      <c r="A379" s="171"/>
      <c r="B379" s="171"/>
      <c r="C379" s="171"/>
      <c r="D379" s="171"/>
      <c r="E379" s="171"/>
      <c r="F379" s="171"/>
      <c r="G379" s="171"/>
      <c r="H379" s="171"/>
      <c r="I379" s="171"/>
      <c r="J379" s="171"/>
      <c r="K379" s="171"/>
      <c r="L379" s="171"/>
      <c r="M379" s="171"/>
      <c r="N379" s="171"/>
      <c r="O379" s="171"/>
      <c r="P379" s="171" t="s">
        <v>54</v>
      </c>
      <c r="Q379" s="171"/>
      <c r="R379" s="171"/>
      <c r="S379" s="151"/>
      <c r="T379" s="171"/>
      <c r="U379" s="171"/>
      <c r="V379" s="171"/>
      <c r="W379" s="171"/>
      <c r="X379" s="171"/>
      <c r="Y379" s="171"/>
      <c r="Z379" s="171"/>
      <c r="AA379" s="171"/>
      <c r="AB379" s="171"/>
      <c r="AC379" s="171"/>
      <c r="AD379" s="171"/>
      <c r="AE379" s="171"/>
      <c r="AF379" s="171"/>
      <c r="AG379" s="171"/>
      <c r="AH379" s="171"/>
      <c r="AI379" s="171" t="s">
        <v>54</v>
      </c>
      <c r="AJ379" s="171"/>
      <c r="AK379" s="171"/>
      <c r="AL379" s="151"/>
      <c r="AM379" s="502"/>
      <c r="AN379" s="502"/>
      <c r="AO379" s="502"/>
      <c r="AP379" s="502"/>
      <c r="AQ379" s="502"/>
      <c r="AR379" s="502"/>
      <c r="AS379" s="502"/>
      <c r="AT379" s="502"/>
      <c r="AU379" s="502"/>
      <c r="AV379" s="502"/>
      <c r="AW379" s="502"/>
      <c r="AX379" s="502"/>
      <c r="AY379" s="502"/>
      <c r="AZ379" s="502"/>
      <c r="BA379" s="502"/>
      <c r="BB379" s="502" t="s">
        <v>54</v>
      </c>
      <c r="BC379" s="502"/>
      <c r="BD379" s="502"/>
      <c r="BE379" s="502"/>
      <c r="BF379" s="502"/>
      <c r="BG379" s="502"/>
      <c r="BH379" s="502"/>
      <c r="BI379" s="502"/>
      <c r="BJ379" s="502"/>
      <c r="BK379" s="502"/>
      <c r="BL379" s="502"/>
      <c r="BM379" s="502"/>
      <c r="BN379" s="502"/>
      <c r="BO379" s="502"/>
      <c r="BP379" s="502"/>
      <c r="BQ379" s="502"/>
      <c r="BR379" s="502"/>
      <c r="BS379" s="502"/>
      <c r="BT379" s="502"/>
      <c r="BU379" s="502" t="s">
        <v>54</v>
      </c>
      <c r="BV379" s="502"/>
      <c r="BW379" s="502"/>
      <c r="BX379" s="502"/>
      <c r="BY379" s="797"/>
      <c r="BZ379" s="797"/>
      <c r="CA379" s="797"/>
      <c r="CB379" s="797"/>
      <c r="CC379" s="797"/>
      <c r="CD379" s="797"/>
      <c r="CE379" s="797"/>
      <c r="CF379" s="797"/>
      <c r="CG379" s="797"/>
      <c r="CH379" s="797"/>
      <c r="CI379" s="797"/>
      <c r="CJ379" s="797"/>
      <c r="CK379" s="797"/>
      <c r="CL379" s="797"/>
      <c r="CM379" s="797"/>
      <c r="CN379" s="797"/>
      <c r="CO379" s="797"/>
      <c r="CP379" s="797"/>
      <c r="CQ379" s="797"/>
      <c r="CR379" s="797"/>
      <c r="CS379" s="797"/>
      <c r="CT379" s="797"/>
      <c r="CU379" s="797"/>
    </row>
    <row r="380" spans="1:99" x14ac:dyDescent="0.25">
      <c r="A380" s="171"/>
      <c r="B380" s="171"/>
      <c r="C380" s="171"/>
      <c r="D380" s="171"/>
      <c r="E380" s="171"/>
      <c r="F380" s="171"/>
      <c r="G380" s="171"/>
      <c r="H380" s="171"/>
      <c r="I380" s="151"/>
      <c r="J380" s="151"/>
      <c r="K380" s="151"/>
      <c r="L380" s="151"/>
      <c r="M380" s="151"/>
      <c r="N380" s="171"/>
      <c r="O380" s="171"/>
      <c r="P380" s="171"/>
      <c r="Q380" s="171"/>
      <c r="R380" s="171"/>
      <c r="S380" s="151"/>
      <c r="T380" s="171"/>
      <c r="U380" s="171"/>
      <c r="V380" s="171"/>
      <c r="W380" s="171"/>
      <c r="X380" s="171"/>
      <c r="Y380" s="171"/>
      <c r="Z380" s="171"/>
      <c r="AA380" s="171"/>
      <c r="AB380" s="151"/>
      <c r="AC380" s="151"/>
      <c r="AD380" s="151"/>
      <c r="AE380" s="151"/>
      <c r="AF380" s="151"/>
      <c r="AG380" s="171"/>
      <c r="AH380" s="171"/>
      <c r="AI380" s="171"/>
      <c r="AJ380" s="171"/>
      <c r="AK380" s="171"/>
      <c r="AL380" s="151"/>
      <c r="AM380" s="502"/>
      <c r="AN380" s="502"/>
      <c r="AO380" s="502"/>
      <c r="AP380" s="502"/>
      <c r="AQ380" s="502"/>
      <c r="AR380" s="502"/>
      <c r="AS380" s="502"/>
      <c r="AT380" s="502"/>
      <c r="AU380" s="502"/>
      <c r="AV380" s="502"/>
      <c r="AW380" s="502"/>
      <c r="AX380" s="502"/>
      <c r="AY380" s="502"/>
      <c r="AZ380" s="502"/>
      <c r="BA380" s="502"/>
      <c r="BB380" s="502"/>
      <c r="BC380" s="502"/>
      <c r="BD380" s="502"/>
      <c r="BE380" s="502"/>
      <c r="BF380" s="502"/>
      <c r="BG380" s="502"/>
      <c r="BH380" s="502"/>
      <c r="BI380" s="502"/>
      <c r="BJ380" s="502"/>
      <c r="BK380" s="502"/>
      <c r="BL380" s="502"/>
      <c r="BM380" s="502"/>
      <c r="BN380" s="502"/>
      <c r="BO380" s="502"/>
      <c r="BP380" s="502"/>
      <c r="BQ380" s="502"/>
      <c r="BR380" s="502"/>
      <c r="BS380" s="502"/>
      <c r="BT380" s="502"/>
      <c r="BU380" s="502"/>
      <c r="BV380" s="502"/>
      <c r="BW380" s="502"/>
      <c r="BX380" s="502"/>
      <c r="BY380" s="797"/>
      <c r="BZ380" s="797"/>
      <c r="CA380" s="797"/>
      <c r="CB380" s="797"/>
      <c r="CC380" s="797"/>
      <c r="CD380" s="797"/>
      <c r="CE380" s="797"/>
      <c r="CF380" s="797"/>
      <c r="CG380" s="797"/>
      <c r="CH380" s="797"/>
      <c r="CI380" s="797"/>
      <c r="CJ380" s="797"/>
      <c r="CK380" s="797"/>
      <c r="CL380" s="797"/>
      <c r="CM380" s="797"/>
      <c r="CN380" s="797"/>
      <c r="CO380" s="797"/>
      <c r="CP380" s="797"/>
      <c r="CQ380" s="797"/>
      <c r="CR380" s="797"/>
      <c r="CS380" s="797"/>
      <c r="CT380" s="797"/>
      <c r="CU380" s="797"/>
    </row>
    <row r="381" spans="1:99" x14ac:dyDescent="0.25">
      <c r="A381" s="171"/>
      <c r="B381" s="171"/>
      <c r="C381" s="171"/>
      <c r="D381" s="171"/>
      <c r="E381" s="171"/>
      <c r="F381" s="171"/>
      <c r="G381" s="171"/>
      <c r="H381" s="171"/>
      <c r="I381" s="151"/>
      <c r="J381" s="151"/>
      <c r="K381" s="151"/>
      <c r="L381" s="151"/>
      <c r="M381" s="151"/>
      <c r="N381" s="171"/>
      <c r="O381" s="171"/>
      <c r="P381" s="171"/>
      <c r="Q381" s="171"/>
      <c r="R381" s="171"/>
      <c r="S381" s="151"/>
      <c r="T381" s="171"/>
      <c r="U381" s="171"/>
      <c r="V381" s="171"/>
      <c r="W381" s="171"/>
      <c r="X381" s="171"/>
      <c r="Y381" s="171"/>
      <c r="Z381" s="171"/>
      <c r="AA381" s="171"/>
      <c r="AB381" s="151"/>
      <c r="AC381" s="151"/>
      <c r="AD381" s="151"/>
      <c r="AE381" s="151"/>
      <c r="AF381" s="151"/>
      <c r="AG381" s="171"/>
      <c r="AH381" s="171"/>
      <c r="AI381" s="171"/>
      <c r="AJ381" s="171"/>
      <c r="AK381" s="171"/>
      <c r="AL381" s="151"/>
      <c r="AM381" s="502"/>
      <c r="AN381" s="502"/>
      <c r="AO381" s="502"/>
      <c r="AP381" s="502"/>
      <c r="AQ381" s="502"/>
      <c r="AR381" s="502"/>
      <c r="AS381" s="502"/>
      <c r="AT381" s="502"/>
      <c r="AU381" s="502"/>
      <c r="AV381" s="502"/>
      <c r="AW381" s="502"/>
      <c r="AX381" s="502"/>
      <c r="AY381" s="502"/>
      <c r="AZ381" s="502"/>
      <c r="BA381" s="502"/>
      <c r="BB381" s="502"/>
      <c r="BC381" s="502"/>
      <c r="BD381" s="502"/>
      <c r="BE381" s="502"/>
      <c r="BF381" s="502"/>
      <c r="BG381" s="502"/>
      <c r="BH381" s="502"/>
      <c r="BI381" s="502"/>
      <c r="BJ381" s="502"/>
      <c r="BK381" s="502"/>
      <c r="BL381" s="502"/>
      <c r="BM381" s="502"/>
      <c r="BN381" s="502"/>
      <c r="BO381" s="502"/>
      <c r="BP381" s="502"/>
      <c r="BQ381" s="502"/>
      <c r="BR381" s="502"/>
      <c r="BS381" s="502"/>
      <c r="BT381" s="502"/>
      <c r="BU381" s="502"/>
      <c r="BV381" s="502"/>
      <c r="BW381" s="502"/>
      <c r="BX381" s="502"/>
      <c r="BY381" s="797"/>
      <c r="BZ381" s="797"/>
      <c r="CA381" s="797"/>
      <c r="CB381" s="797"/>
      <c r="CC381" s="797"/>
      <c r="CD381" s="797"/>
      <c r="CE381" s="797"/>
      <c r="CF381" s="797"/>
      <c r="CG381" s="797"/>
      <c r="CH381" s="797"/>
      <c r="CI381" s="797"/>
      <c r="CJ381" s="797"/>
      <c r="CK381" s="797"/>
      <c r="CL381" s="797"/>
      <c r="CM381" s="797"/>
      <c r="CN381" s="797"/>
      <c r="CO381" s="797"/>
      <c r="CP381" s="797"/>
      <c r="CQ381" s="797"/>
      <c r="CR381" s="797"/>
      <c r="CS381" s="797"/>
      <c r="CT381" s="797"/>
      <c r="CU381" s="797"/>
    </row>
    <row r="382" spans="1:99" x14ac:dyDescent="0.25">
      <c r="A382" s="171"/>
      <c r="B382" s="171"/>
      <c r="C382" s="171"/>
      <c r="D382" s="171"/>
      <c r="E382" s="171"/>
      <c r="F382" s="171"/>
      <c r="G382" s="171"/>
      <c r="H382" s="171"/>
      <c r="I382" s="151"/>
      <c r="J382" s="151"/>
      <c r="K382" s="151"/>
      <c r="L382" s="151"/>
      <c r="M382" s="151"/>
      <c r="N382" s="171"/>
      <c r="O382" s="171"/>
      <c r="P382" s="171"/>
      <c r="Q382" s="171"/>
      <c r="R382" s="171"/>
      <c r="S382" s="151"/>
      <c r="T382" s="171"/>
      <c r="U382" s="171"/>
      <c r="V382" s="171"/>
      <c r="W382" s="171"/>
      <c r="X382" s="171"/>
      <c r="Y382" s="171"/>
      <c r="Z382" s="171"/>
      <c r="AA382" s="171"/>
      <c r="AB382" s="151"/>
      <c r="AC382" s="151"/>
      <c r="AD382" s="151"/>
      <c r="AE382" s="151"/>
      <c r="AF382" s="151"/>
      <c r="AG382" s="171"/>
      <c r="AH382" s="171"/>
      <c r="AI382" s="171"/>
      <c r="AJ382" s="171"/>
      <c r="AK382" s="171"/>
      <c r="AL382" s="151"/>
      <c r="AM382" s="502"/>
      <c r="AN382" s="502"/>
      <c r="AO382" s="502"/>
      <c r="AP382" s="502"/>
      <c r="AQ382" s="502"/>
      <c r="AR382" s="502"/>
      <c r="AS382" s="502"/>
      <c r="AT382" s="502"/>
      <c r="AU382" s="502"/>
      <c r="AV382" s="502"/>
      <c r="AW382" s="502"/>
      <c r="AX382" s="502"/>
      <c r="AY382" s="502"/>
      <c r="AZ382" s="502"/>
      <c r="BA382" s="502"/>
      <c r="BB382" s="502"/>
      <c r="BC382" s="502"/>
      <c r="BD382" s="502"/>
      <c r="BE382" s="502"/>
      <c r="BF382" s="502"/>
      <c r="BG382" s="502"/>
      <c r="BH382" s="502"/>
      <c r="BI382" s="502"/>
      <c r="BJ382" s="502"/>
      <c r="BK382" s="502"/>
      <c r="BL382" s="502"/>
      <c r="BM382" s="502"/>
      <c r="BN382" s="502"/>
      <c r="BO382" s="502"/>
      <c r="BP382" s="502"/>
      <c r="BQ382" s="502"/>
      <c r="BR382" s="502"/>
      <c r="BS382" s="502"/>
      <c r="BT382" s="502"/>
      <c r="BU382" s="502"/>
      <c r="BV382" s="502"/>
      <c r="BW382" s="502"/>
      <c r="BX382" s="502"/>
      <c r="BY382" s="797"/>
      <c r="BZ382" s="797"/>
      <c r="CA382" s="797"/>
      <c r="CB382" s="797"/>
      <c r="CC382" s="797"/>
      <c r="CD382" s="797"/>
      <c r="CE382" s="797"/>
      <c r="CF382" s="797"/>
      <c r="CG382" s="797"/>
      <c r="CH382" s="797"/>
      <c r="CI382" s="797"/>
      <c r="CJ382" s="797"/>
      <c r="CK382" s="797"/>
      <c r="CL382" s="797"/>
      <c r="CM382" s="797"/>
      <c r="CN382" s="797"/>
      <c r="CO382" s="797"/>
      <c r="CP382" s="797"/>
      <c r="CQ382" s="797"/>
      <c r="CR382" s="797"/>
      <c r="CS382" s="797"/>
      <c r="CT382" s="797"/>
      <c r="CU382" s="797"/>
    </row>
    <row r="383" spans="1:99" x14ac:dyDescent="0.25">
      <c r="A383" s="171"/>
      <c r="B383" s="171"/>
      <c r="C383" s="171"/>
      <c r="D383" s="171"/>
      <c r="E383" s="171"/>
      <c r="F383" s="171"/>
      <c r="G383" s="171"/>
      <c r="H383" s="171"/>
      <c r="I383" s="151"/>
      <c r="J383" s="151"/>
      <c r="K383" s="151"/>
      <c r="L383" s="151"/>
      <c r="M383" s="151"/>
      <c r="N383" s="171"/>
      <c r="O383" s="171"/>
      <c r="P383" s="171"/>
      <c r="Q383" s="171"/>
      <c r="R383" s="171"/>
      <c r="S383" s="151"/>
      <c r="T383" s="171"/>
      <c r="U383" s="171"/>
      <c r="V383" s="171"/>
      <c r="W383" s="171"/>
      <c r="X383" s="171"/>
      <c r="Y383" s="171"/>
      <c r="Z383" s="171"/>
      <c r="AA383" s="171"/>
      <c r="AB383" s="151"/>
      <c r="AC383" s="151"/>
      <c r="AD383" s="151"/>
      <c r="AE383" s="151"/>
      <c r="AF383" s="151"/>
      <c r="AG383" s="171"/>
      <c r="AH383" s="171"/>
      <c r="AI383" s="171"/>
      <c r="AJ383" s="171"/>
      <c r="AK383" s="171"/>
      <c r="AL383" s="151"/>
      <c r="AM383" s="502"/>
      <c r="AN383" s="502"/>
      <c r="AO383" s="502"/>
      <c r="AP383" s="502"/>
      <c r="AQ383" s="502"/>
      <c r="AR383" s="502"/>
      <c r="AS383" s="502"/>
      <c r="AT383" s="502"/>
      <c r="AU383" s="502"/>
      <c r="AV383" s="502"/>
      <c r="AW383" s="502"/>
      <c r="AX383" s="502"/>
      <c r="AY383" s="502"/>
      <c r="AZ383" s="502"/>
      <c r="BA383" s="502"/>
      <c r="BB383" s="502"/>
      <c r="BC383" s="502"/>
      <c r="BD383" s="502"/>
      <c r="BE383" s="502"/>
      <c r="BF383" s="502"/>
      <c r="BG383" s="502"/>
      <c r="BH383" s="502"/>
      <c r="BI383" s="502"/>
      <c r="BJ383" s="502"/>
      <c r="BK383" s="502"/>
      <c r="BL383" s="502"/>
      <c r="BM383" s="502"/>
      <c r="BN383" s="502"/>
      <c r="BO383" s="502"/>
      <c r="BP383" s="502"/>
      <c r="BQ383" s="502"/>
      <c r="BR383" s="502"/>
      <c r="BS383" s="502"/>
      <c r="BT383" s="502"/>
      <c r="BU383" s="502"/>
      <c r="BV383" s="502"/>
      <c r="BW383" s="502"/>
      <c r="BX383" s="502"/>
      <c r="BY383" s="797"/>
      <c r="BZ383" s="797"/>
      <c r="CA383" s="797"/>
      <c r="CB383" s="797"/>
      <c r="CC383" s="797"/>
      <c r="CD383" s="797"/>
      <c r="CE383" s="797"/>
      <c r="CF383" s="797"/>
      <c r="CG383" s="797"/>
      <c r="CH383" s="797"/>
      <c r="CI383" s="797"/>
      <c r="CJ383" s="797"/>
      <c r="CK383" s="797"/>
      <c r="CL383" s="797"/>
      <c r="CM383" s="797"/>
      <c r="CN383" s="797"/>
      <c r="CO383" s="797"/>
      <c r="CP383" s="797"/>
      <c r="CQ383" s="797"/>
      <c r="CR383" s="797"/>
      <c r="CS383" s="797"/>
      <c r="CT383" s="797"/>
      <c r="CU383" s="797"/>
    </row>
    <row r="384" spans="1:99" x14ac:dyDescent="0.25">
      <c r="A384" s="171"/>
      <c r="B384" s="171"/>
      <c r="C384" s="171"/>
      <c r="D384" s="171"/>
      <c r="E384" s="171"/>
      <c r="F384" s="171"/>
      <c r="G384" s="171"/>
      <c r="H384" s="171"/>
      <c r="I384" s="151"/>
      <c r="J384" s="151"/>
      <c r="K384" s="151"/>
      <c r="L384" s="151"/>
      <c r="M384" s="151"/>
      <c r="N384" s="171"/>
      <c r="O384" s="171"/>
      <c r="P384" s="171"/>
      <c r="Q384" s="171"/>
      <c r="R384" s="171"/>
      <c r="S384" s="151"/>
      <c r="T384" s="171"/>
      <c r="U384" s="171"/>
      <c r="V384" s="171"/>
      <c r="W384" s="171"/>
      <c r="X384" s="171"/>
      <c r="Y384" s="171"/>
      <c r="Z384" s="171"/>
      <c r="AA384" s="171"/>
      <c r="AB384" s="151"/>
      <c r="AC384" s="151"/>
      <c r="AD384" s="151"/>
      <c r="AE384" s="151"/>
      <c r="AF384" s="151"/>
      <c r="AG384" s="171"/>
      <c r="AH384" s="171"/>
      <c r="AI384" s="171"/>
      <c r="AJ384" s="171"/>
      <c r="AK384" s="171"/>
      <c r="AL384" s="151"/>
      <c r="AM384" s="502"/>
      <c r="AN384" s="502"/>
      <c r="AO384" s="502"/>
      <c r="AP384" s="502"/>
      <c r="AQ384" s="502"/>
      <c r="AR384" s="502"/>
      <c r="AS384" s="502"/>
      <c r="AT384" s="502"/>
      <c r="AU384" s="502"/>
      <c r="AV384" s="502"/>
      <c r="AW384" s="502"/>
      <c r="AX384" s="502"/>
      <c r="AY384" s="502"/>
      <c r="AZ384" s="502"/>
      <c r="BA384" s="502"/>
      <c r="BB384" s="502"/>
      <c r="BC384" s="502"/>
      <c r="BD384" s="502"/>
      <c r="BE384" s="502"/>
      <c r="BF384" s="502"/>
      <c r="BG384" s="502"/>
      <c r="BH384" s="502"/>
      <c r="BI384" s="502"/>
      <c r="BJ384" s="502"/>
      <c r="BK384" s="502"/>
      <c r="BL384" s="502"/>
      <c r="BM384" s="502"/>
      <c r="BN384" s="502"/>
      <c r="BO384" s="502"/>
      <c r="BP384" s="502"/>
      <c r="BQ384" s="502"/>
      <c r="BR384" s="502"/>
      <c r="BS384" s="502"/>
      <c r="BT384" s="502"/>
      <c r="BU384" s="502"/>
      <c r="BV384" s="502"/>
      <c r="BW384" s="502"/>
      <c r="BX384" s="502"/>
      <c r="BY384" s="797"/>
      <c r="BZ384" s="797"/>
      <c r="CA384" s="797"/>
      <c r="CB384" s="797"/>
      <c r="CC384" s="797"/>
      <c r="CD384" s="797"/>
      <c r="CE384" s="797"/>
      <c r="CF384" s="797"/>
      <c r="CG384" s="797"/>
      <c r="CH384" s="797"/>
      <c r="CI384" s="797"/>
      <c r="CJ384" s="797"/>
      <c r="CK384" s="797"/>
      <c r="CL384" s="797"/>
      <c r="CM384" s="797"/>
      <c r="CN384" s="797"/>
      <c r="CO384" s="797"/>
      <c r="CP384" s="797"/>
      <c r="CQ384" s="797"/>
      <c r="CR384" s="797"/>
      <c r="CS384" s="797"/>
      <c r="CT384" s="797"/>
      <c r="CU384" s="797"/>
    </row>
    <row r="385" spans="1:99" x14ac:dyDescent="0.25">
      <c r="A385" s="171"/>
      <c r="B385" s="171"/>
      <c r="C385" s="171"/>
      <c r="D385" s="171"/>
      <c r="E385" s="171"/>
      <c r="F385" s="171"/>
      <c r="G385" s="171"/>
      <c r="H385" s="171"/>
      <c r="I385" s="151"/>
      <c r="J385" s="151"/>
      <c r="K385" s="151"/>
      <c r="L385" s="151"/>
      <c r="M385" s="151"/>
      <c r="N385" s="171"/>
      <c r="O385" s="171"/>
      <c r="P385" s="171"/>
      <c r="Q385" s="171"/>
      <c r="R385" s="171"/>
      <c r="S385" s="151"/>
      <c r="T385" s="171"/>
      <c r="U385" s="171"/>
      <c r="V385" s="171"/>
      <c r="W385" s="171"/>
      <c r="X385" s="171"/>
      <c r="Y385" s="171"/>
      <c r="Z385" s="171"/>
      <c r="AA385" s="171"/>
      <c r="AB385" s="151"/>
      <c r="AC385" s="151"/>
      <c r="AD385" s="151"/>
      <c r="AE385" s="151"/>
      <c r="AF385" s="151"/>
      <c r="AG385" s="171"/>
      <c r="AH385" s="171"/>
      <c r="AI385" s="171"/>
      <c r="AJ385" s="171"/>
      <c r="AK385" s="171"/>
      <c r="AL385" s="151"/>
      <c r="AM385" s="502"/>
      <c r="AN385" s="502"/>
      <c r="AO385" s="502"/>
      <c r="AP385" s="502"/>
      <c r="AQ385" s="502"/>
      <c r="AR385" s="502"/>
      <c r="AS385" s="502"/>
      <c r="AT385" s="502"/>
      <c r="AU385" s="502"/>
      <c r="AV385" s="502"/>
      <c r="AW385" s="502"/>
      <c r="AX385" s="502"/>
      <c r="AY385" s="502"/>
      <c r="AZ385" s="502"/>
      <c r="BA385" s="502"/>
      <c r="BB385" s="502"/>
      <c r="BC385" s="502"/>
      <c r="BD385" s="502"/>
      <c r="BE385" s="502"/>
      <c r="BF385" s="502"/>
      <c r="BG385" s="502"/>
      <c r="BH385" s="502"/>
      <c r="BI385" s="502"/>
      <c r="BJ385" s="502"/>
      <c r="BK385" s="502"/>
      <c r="BL385" s="502"/>
      <c r="BM385" s="502"/>
      <c r="BN385" s="502"/>
      <c r="BO385" s="502"/>
      <c r="BP385" s="502"/>
      <c r="BQ385" s="502"/>
      <c r="BR385" s="502"/>
      <c r="BS385" s="502"/>
      <c r="BT385" s="502"/>
      <c r="BU385" s="502"/>
      <c r="BV385" s="502"/>
      <c r="BW385" s="502"/>
      <c r="BX385" s="502"/>
      <c r="BY385" s="797"/>
      <c r="BZ385" s="797"/>
      <c r="CA385" s="797"/>
      <c r="CB385" s="797"/>
      <c r="CC385" s="797"/>
      <c r="CD385" s="797"/>
      <c r="CE385" s="797"/>
      <c r="CF385" s="797"/>
      <c r="CG385" s="797"/>
      <c r="CH385" s="797"/>
      <c r="CI385" s="797"/>
      <c r="CJ385" s="797"/>
      <c r="CK385" s="797"/>
      <c r="CL385" s="797"/>
      <c r="CM385" s="797"/>
      <c r="CN385" s="797"/>
      <c r="CO385" s="797"/>
      <c r="CP385" s="797"/>
      <c r="CQ385" s="797"/>
      <c r="CR385" s="797"/>
      <c r="CS385" s="797"/>
      <c r="CT385" s="797"/>
      <c r="CU385" s="797"/>
    </row>
    <row r="386" spans="1:99" x14ac:dyDescent="0.25">
      <c r="A386" s="171"/>
      <c r="B386" s="171"/>
      <c r="C386" s="171"/>
      <c r="D386" s="171"/>
      <c r="E386" s="171"/>
      <c r="F386" s="171"/>
      <c r="G386" s="171"/>
      <c r="H386" s="171"/>
      <c r="I386" s="151"/>
      <c r="J386" s="151"/>
      <c r="K386" s="151"/>
      <c r="L386" s="151"/>
      <c r="M386" s="151"/>
      <c r="N386" s="171"/>
      <c r="O386" s="171"/>
      <c r="P386" s="171"/>
      <c r="Q386" s="171"/>
      <c r="R386" s="171"/>
      <c r="S386" s="151"/>
      <c r="T386" s="171"/>
      <c r="U386" s="171"/>
      <c r="V386" s="171"/>
      <c r="W386" s="171"/>
      <c r="X386" s="171"/>
      <c r="Y386" s="171"/>
      <c r="Z386" s="171"/>
      <c r="AA386" s="171"/>
      <c r="AB386" s="151"/>
      <c r="AC386" s="151"/>
      <c r="AD386" s="151"/>
      <c r="AE386" s="151"/>
      <c r="AF386" s="151"/>
      <c r="AG386" s="171"/>
      <c r="AH386" s="171"/>
      <c r="AI386" s="171"/>
      <c r="AJ386" s="171"/>
      <c r="AK386" s="171"/>
      <c r="AL386" s="151"/>
      <c r="AM386" s="502"/>
      <c r="AN386" s="502"/>
      <c r="AO386" s="502"/>
      <c r="AP386" s="502"/>
      <c r="AQ386" s="502"/>
      <c r="AR386" s="502"/>
      <c r="AS386" s="502"/>
      <c r="AT386" s="502"/>
      <c r="AU386" s="502"/>
      <c r="AV386" s="502"/>
      <c r="AW386" s="502"/>
      <c r="AX386" s="502"/>
      <c r="AY386" s="502"/>
      <c r="AZ386" s="502"/>
      <c r="BA386" s="502"/>
      <c r="BB386" s="502"/>
      <c r="BC386" s="502"/>
      <c r="BD386" s="502"/>
      <c r="BE386" s="502"/>
      <c r="BF386" s="502"/>
      <c r="BG386" s="502"/>
      <c r="BH386" s="502"/>
      <c r="BI386" s="502"/>
      <c r="BJ386" s="502"/>
      <c r="BK386" s="502"/>
      <c r="BL386" s="502"/>
      <c r="BM386" s="502"/>
      <c r="BN386" s="502"/>
      <c r="BO386" s="502"/>
      <c r="BP386" s="502"/>
      <c r="BQ386" s="502"/>
      <c r="BR386" s="502"/>
      <c r="BS386" s="502"/>
      <c r="BT386" s="502"/>
      <c r="BU386" s="502"/>
      <c r="BV386" s="502"/>
      <c r="BW386" s="502"/>
      <c r="BX386" s="502"/>
      <c r="BY386" s="797"/>
      <c r="BZ386" s="797"/>
      <c r="CA386" s="797"/>
      <c r="CB386" s="797"/>
      <c r="CC386" s="797"/>
      <c r="CD386" s="797"/>
      <c r="CE386" s="797"/>
      <c r="CF386" s="797"/>
      <c r="CG386" s="797"/>
      <c r="CH386" s="797"/>
      <c r="CI386" s="797"/>
      <c r="CJ386" s="797"/>
      <c r="CK386" s="797"/>
      <c r="CL386" s="797"/>
      <c r="CM386" s="797"/>
      <c r="CN386" s="797"/>
      <c r="CO386" s="797"/>
      <c r="CP386" s="797"/>
      <c r="CQ386" s="797"/>
      <c r="CR386" s="797"/>
      <c r="CS386" s="797"/>
      <c r="CT386" s="797"/>
      <c r="CU386" s="797"/>
    </row>
    <row r="387" spans="1:99" x14ac:dyDescent="0.25">
      <c r="A387" s="171"/>
      <c r="B387" s="171"/>
      <c r="C387" s="171"/>
      <c r="D387" s="171"/>
      <c r="E387" s="171"/>
      <c r="F387" s="171"/>
      <c r="G387" s="171"/>
      <c r="H387" s="171"/>
      <c r="I387" s="151"/>
      <c r="J387" s="151"/>
      <c r="K387" s="151"/>
      <c r="L387" s="151"/>
      <c r="M387" s="151"/>
      <c r="N387" s="171"/>
      <c r="O387" s="171"/>
      <c r="P387" s="171"/>
      <c r="Q387" s="171"/>
      <c r="R387" s="171"/>
      <c r="S387" s="151"/>
      <c r="T387" s="171"/>
      <c r="U387" s="171"/>
      <c r="V387" s="171"/>
      <c r="W387" s="171"/>
      <c r="X387" s="171"/>
      <c r="Y387" s="171"/>
      <c r="Z387" s="171"/>
      <c r="AA387" s="171"/>
      <c r="AB387" s="151"/>
      <c r="AC387" s="151"/>
      <c r="AD387" s="151"/>
      <c r="AE387" s="151"/>
      <c r="AF387" s="151"/>
      <c r="AG387" s="171"/>
      <c r="AH387" s="171"/>
      <c r="AI387" s="171"/>
      <c r="AJ387" s="171"/>
      <c r="AK387" s="171"/>
      <c r="AL387" s="151"/>
      <c r="AM387" s="502"/>
      <c r="AN387" s="502"/>
      <c r="AO387" s="502"/>
      <c r="AP387" s="502"/>
      <c r="AQ387" s="502"/>
      <c r="AR387" s="502"/>
      <c r="AS387" s="502"/>
      <c r="AT387" s="502"/>
      <c r="AU387" s="502"/>
      <c r="AV387" s="502"/>
      <c r="AW387" s="502"/>
      <c r="AX387" s="502"/>
      <c r="AY387" s="502"/>
      <c r="AZ387" s="502"/>
      <c r="BA387" s="502"/>
      <c r="BB387" s="502"/>
      <c r="BC387" s="502"/>
      <c r="BD387" s="502"/>
      <c r="BE387" s="502"/>
      <c r="BF387" s="502"/>
      <c r="BG387" s="502"/>
      <c r="BH387" s="502"/>
      <c r="BI387" s="502"/>
      <c r="BJ387" s="502"/>
      <c r="BK387" s="502"/>
      <c r="BL387" s="502"/>
      <c r="BM387" s="502"/>
      <c r="BN387" s="502"/>
      <c r="BO387" s="502"/>
      <c r="BP387" s="502"/>
      <c r="BQ387" s="502"/>
      <c r="BR387" s="502"/>
      <c r="BS387" s="502"/>
      <c r="BT387" s="502"/>
      <c r="BU387" s="502"/>
      <c r="BV387" s="502"/>
      <c r="BW387" s="502"/>
      <c r="BX387" s="502"/>
      <c r="BY387" s="797"/>
      <c r="BZ387" s="797"/>
      <c r="CA387" s="797"/>
      <c r="CB387" s="797"/>
      <c r="CC387" s="797"/>
      <c r="CD387" s="797"/>
      <c r="CE387" s="797"/>
      <c r="CF387" s="797"/>
      <c r="CG387" s="797"/>
      <c r="CH387" s="797"/>
      <c r="CI387" s="797"/>
      <c r="CJ387" s="797"/>
      <c r="CK387" s="797"/>
      <c r="CL387" s="797"/>
      <c r="CM387" s="797"/>
      <c r="CN387" s="797"/>
      <c r="CO387" s="797"/>
      <c r="CP387" s="797"/>
      <c r="CQ387" s="797"/>
      <c r="CR387" s="797"/>
      <c r="CS387" s="797"/>
      <c r="CT387" s="797"/>
      <c r="CU387" s="797"/>
    </row>
    <row r="388" spans="1:99" x14ac:dyDescent="0.25">
      <c r="A388" s="152">
        <f>P403</f>
        <v>224.73183993535091</v>
      </c>
      <c r="B388" s="154">
        <f>(A388*10^0.125)</f>
        <v>299.68472504328804</v>
      </c>
      <c r="C388" s="154">
        <f>INT(B388)</f>
        <v>299</v>
      </c>
      <c r="D388" s="154">
        <f>C388*4</f>
        <v>1196</v>
      </c>
      <c r="E388" s="154">
        <f>D388/5</f>
        <v>239.2</v>
      </c>
      <c r="F388" s="149">
        <f>E388^2</f>
        <v>57216.639999999992</v>
      </c>
      <c r="G388" s="149">
        <f>(F388^0.125)</f>
        <v>3.9326952517764404</v>
      </c>
      <c r="H388" s="149">
        <f>G388/3</f>
        <v>1.3108984172588134</v>
      </c>
      <c r="I388" s="149">
        <f>(H388*100)</f>
        <v>131.08984172588134</v>
      </c>
      <c r="J388" s="149">
        <f>(F388/100)</f>
        <v>572.16639999999995</v>
      </c>
      <c r="K388" s="149">
        <f>(J388+I388)/2</f>
        <v>351.62812086294065</v>
      </c>
      <c r="L388" s="149">
        <f>(K388+I388)/2</f>
        <v>241.358981294411</v>
      </c>
      <c r="M388" s="149">
        <f>(L388+A388)/2</f>
        <v>233.04541061488095</v>
      </c>
      <c r="N388" s="149">
        <f>M388*100^0.5</f>
        <v>2330.4541061488094</v>
      </c>
      <c r="O388" s="149">
        <f>INT(N388)/10</f>
        <v>233</v>
      </c>
      <c r="P388" s="149">
        <f>(O388)^2/10000</f>
        <v>5.4288999999999996</v>
      </c>
      <c r="Q388" s="149">
        <f>(P388+I388+M388)/3</f>
        <v>123.1880507802541</v>
      </c>
      <c r="R388" s="150">
        <f>Q393^0.5</f>
        <v>36.323259941237922</v>
      </c>
      <c r="S388" s="151"/>
      <c r="T388" s="152">
        <f>AI403</f>
        <v>224.70407656788362</v>
      </c>
      <c r="U388" s="154">
        <f>(T388*10^0.125)</f>
        <v>299.64770199774136</v>
      </c>
      <c r="V388" s="154">
        <f>INT(U388)</f>
        <v>299</v>
      </c>
      <c r="W388" s="154">
        <f>V388*4</f>
        <v>1196</v>
      </c>
      <c r="X388" s="154">
        <f>W388/5</f>
        <v>239.2</v>
      </c>
      <c r="Y388" s="149">
        <f>X388^2</f>
        <v>57216.639999999992</v>
      </c>
      <c r="Z388" s="149">
        <f>(Y388^0.125)</f>
        <v>3.9326952517764404</v>
      </c>
      <c r="AA388" s="149">
        <f>Z388/3</f>
        <v>1.3108984172588134</v>
      </c>
      <c r="AB388" s="149">
        <f>(AA388*100)</f>
        <v>131.08984172588134</v>
      </c>
      <c r="AC388" s="149">
        <f>(Y388/100)</f>
        <v>572.16639999999995</v>
      </c>
      <c r="AD388" s="149">
        <f>(AC388+AB388)/2</f>
        <v>351.62812086294065</v>
      </c>
      <c r="AE388" s="149">
        <f>(AD388+AB388)/2</f>
        <v>241.358981294411</v>
      </c>
      <c r="AF388" s="149">
        <f>(AE388+T388)/2</f>
        <v>233.03152893114731</v>
      </c>
      <c r="AG388" s="149">
        <f>AF388*100^0.5</f>
        <v>2330.315289311473</v>
      </c>
      <c r="AH388" s="149">
        <f>INT(AG388)/10</f>
        <v>233</v>
      </c>
      <c r="AI388" s="149">
        <f>(AH388)^2/10000</f>
        <v>5.4288999999999996</v>
      </c>
      <c r="AJ388" s="149">
        <f>(AI388+AB388+AF388)/3</f>
        <v>123.18342355234289</v>
      </c>
      <c r="AK388" s="150">
        <f>AJ393^0.5</f>
        <v>36.323259941237922</v>
      </c>
      <c r="AL388" s="151"/>
      <c r="AM388" s="503">
        <f>BB403</f>
        <v>224.74094808813993</v>
      </c>
      <c r="AN388" s="505">
        <f>(AM388*10^0.125)</f>
        <v>299.69687096023961</v>
      </c>
      <c r="AO388" s="505">
        <f>INT(AN388)</f>
        <v>299</v>
      </c>
      <c r="AP388" s="505">
        <f>AO388*4</f>
        <v>1196</v>
      </c>
      <c r="AQ388" s="505">
        <f>AP388/5</f>
        <v>239.2</v>
      </c>
      <c r="AR388" s="500">
        <f>AQ388^2</f>
        <v>57216.639999999992</v>
      </c>
      <c r="AS388" s="500">
        <f>(AR388^0.125)</f>
        <v>3.9326952517764404</v>
      </c>
      <c r="AT388" s="500">
        <f>AS388/3</f>
        <v>1.3108984172588134</v>
      </c>
      <c r="AU388" s="500">
        <f>(AT388*100)</f>
        <v>131.08984172588134</v>
      </c>
      <c r="AV388" s="500">
        <f>(AR388/100)</f>
        <v>572.16639999999995</v>
      </c>
      <c r="AW388" s="500">
        <f>(AV388+AU388)/2</f>
        <v>351.62812086294065</v>
      </c>
      <c r="AX388" s="500">
        <f>(AW388+AU388)/2</f>
        <v>241.358981294411</v>
      </c>
      <c r="AY388" s="500">
        <f>(AX388+AM388)/2</f>
        <v>233.04996469127548</v>
      </c>
      <c r="AZ388" s="500">
        <f>AY388*100^0.5</f>
        <v>2330.4996469127545</v>
      </c>
      <c r="BA388" s="500">
        <f>INT(AZ388)/10</f>
        <v>233</v>
      </c>
      <c r="BB388" s="500">
        <f>(BA388)^2/10000</f>
        <v>5.4288999999999996</v>
      </c>
      <c r="BC388" s="500">
        <f>(BB388+AU388+AY388)/3</f>
        <v>123.18956880571893</v>
      </c>
      <c r="BD388" s="501">
        <f>BC393^0.5</f>
        <v>32.451591404174579</v>
      </c>
      <c r="BE388" s="502"/>
      <c r="BF388" s="503">
        <f>BU403</f>
        <v>224.71869965599993</v>
      </c>
      <c r="BG388" s="505">
        <f>(BF388*10^0.125)</f>
        <v>299.6672021991489</v>
      </c>
      <c r="BH388" s="505">
        <f>INT(BG388)</f>
        <v>299</v>
      </c>
      <c r="BI388" s="505">
        <f>BH388*4</f>
        <v>1196</v>
      </c>
      <c r="BJ388" s="505">
        <f>BI388/5</f>
        <v>239.2</v>
      </c>
      <c r="BK388" s="500">
        <f>BJ388^2</f>
        <v>57216.639999999992</v>
      </c>
      <c r="BL388" s="500">
        <f>(BK388^0.125)</f>
        <v>3.9326952517764404</v>
      </c>
      <c r="BM388" s="500">
        <f>BL388/3</f>
        <v>1.3108984172588134</v>
      </c>
      <c r="BN388" s="500">
        <f>(BM388*100)</f>
        <v>131.08984172588134</v>
      </c>
      <c r="BO388" s="500">
        <f>(BK388/100)</f>
        <v>572.16639999999995</v>
      </c>
      <c r="BP388" s="500">
        <f>(BO388+BN388)/2</f>
        <v>351.62812086294065</v>
      </c>
      <c r="BQ388" s="500">
        <f>(BP388+BN388)/2</f>
        <v>241.358981294411</v>
      </c>
      <c r="BR388" s="500">
        <f>(BQ388+BF388)/2</f>
        <v>233.03884047520546</v>
      </c>
      <c r="BS388" s="500">
        <f>BR388*100^0.5</f>
        <v>2330.3884047520546</v>
      </c>
      <c r="BT388" s="500">
        <f>INT(BS388)/10</f>
        <v>233</v>
      </c>
      <c r="BU388" s="500">
        <f>(BT388)^2/10000</f>
        <v>5.4288999999999996</v>
      </c>
      <c r="BV388" s="500">
        <f>(BU388+BN388+BR388)/3</f>
        <v>123.18586073369561</v>
      </c>
      <c r="BW388" s="501">
        <f>BV393^0.5</f>
        <v>32.451591404174579</v>
      </c>
      <c r="BX388" s="502"/>
      <c r="BY388" s="797"/>
      <c r="BZ388" s="797"/>
      <c r="CA388" s="797"/>
      <c r="CB388" s="797"/>
      <c r="CC388" s="797"/>
      <c r="CD388" s="797"/>
      <c r="CE388" s="797"/>
      <c r="CF388" s="797"/>
      <c r="CG388" s="797"/>
      <c r="CH388" s="797"/>
      <c r="CI388" s="797"/>
      <c r="CJ388" s="797"/>
      <c r="CK388" s="797"/>
      <c r="CL388" s="797"/>
      <c r="CM388" s="797"/>
      <c r="CN388" s="797"/>
      <c r="CO388" s="797"/>
      <c r="CP388" s="797"/>
      <c r="CQ388" s="797"/>
      <c r="CR388" s="797"/>
      <c r="CS388" s="797"/>
      <c r="CT388" s="797"/>
      <c r="CU388" s="797"/>
    </row>
    <row r="389" spans="1:99" x14ac:dyDescent="0.25">
      <c r="A389" s="163">
        <f>(O390-O389)</f>
        <v>3.4725851512106658</v>
      </c>
      <c r="B389" s="154">
        <f>(B390+A391)/2</f>
        <v>217.98196838589811</v>
      </c>
      <c r="C389" s="164">
        <f>(D391*C391*B391*C390*D390*A389)</f>
        <v>9867438274176.2187</v>
      </c>
      <c r="D389" s="154">
        <f>(C390*C389*A389)</f>
        <v>11070407237.602039</v>
      </c>
      <c r="E389" s="163">
        <f>INT(A389+1)</f>
        <v>4</v>
      </c>
      <c r="F389" s="165">
        <f>(Q401*-1)</f>
        <v>2473.5678449373731</v>
      </c>
      <c r="G389" s="161"/>
      <c r="H389" s="152">
        <f>IF(F389&lt;0,1,-1)</f>
        <v>-1</v>
      </c>
      <c r="I389" s="161"/>
      <c r="J389" s="161"/>
      <c r="K389" s="161"/>
      <c r="L389" s="161"/>
      <c r="M389" s="161"/>
      <c r="N389" s="161">
        <f>(M388+O388)/2</f>
        <v>233.02270530744048</v>
      </c>
      <c r="O389" s="161">
        <f>N389-A388</f>
        <v>8.29086537208957</v>
      </c>
      <c r="P389" s="161">
        <f>(Q393+R391)/2</f>
        <v>1307.6896063793697</v>
      </c>
      <c r="Q389" s="162">
        <f>(Q392*A389*100)</f>
        <v>-683.95205909110257</v>
      </c>
      <c r="R389" s="150">
        <f>INT(R388)</f>
        <v>36</v>
      </c>
      <c r="S389" s="151"/>
      <c r="T389" s="163">
        <f>(AH390-AH389)</f>
        <v>3.4292048895430014</v>
      </c>
      <c r="U389" s="154">
        <f>(U390+T391)/2</f>
        <v>217.97632895188136</v>
      </c>
      <c r="V389" s="164">
        <f>(W391*V391*U391*V390*W390*T389)</f>
        <v>8592305881646.9795</v>
      </c>
      <c r="W389" s="154">
        <f>(V390*V389*T389)</f>
        <v>9808274363.7653885</v>
      </c>
      <c r="X389" s="163">
        <f>INT(T389+1)</f>
        <v>4</v>
      </c>
      <c r="Y389" s="165">
        <f>(AJ401*-1)</f>
        <v>1220.3101897812069</v>
      </c>
      <c r="Z389" s="161"/>
      <c r="AA389" s="152">
        <f>IF(Y389&lt;0,1,-1)</f>
        <v>-1</v>
      </c>
      <c r="AB389" s="161"/>
      <c r="AC389" s="161"/>
      <c r="AD389" s="161"/>
      <c r="AE389" s="161"/>
      <c r="AF389" s="161"/>
      <c r="AG389" s="161">
        <f>(AF388+AH388)/2</f>
        <v>233.01576446557365</v>
      </c>
      <c r="AH389" s="161">
        <f>AG389-T388</f>
        <v>8.3116878976900352</v>
      </c>
      <c r="AI389" s="161">
        <f>(AJ393+AK391)/2</f>
        <v>1307.6896063793697</v>
      </c>
      <c r="AJ389" s="162">
        <f>(AJ392*T389*100)</f>
        <v>-658.81109263696123</v>
      </c>
      <c r="AK389" s="150">
        <f>INT(AK388)</f>
        <v>36</v>
      </c>
      <c r="AL389" s="151"/>
      <c r="AM389" s="514">
        <f>(BA390-BA389)</f>
        <v>3.4868166399434699</v>
      </c>
      <c r="AN389" s="505">
        <f>(AN390+AM391)/2</f>
        <v>217.98381847943341</v>
      </c>
      <c r="AO389" s="515">
        <f>(AP391*AO391*AN391*AO390*AP390*AM389)</f>
        <v>10322172234611.096</v>
      </c>
      <c r="AP389" s="505">
        <f>(AO390*AO389*AM389)</f>
        <v>11515371658.023247</v>
      </c>
      <c r="AQ389" s="514">
        <f>INT(AM389+1)</f>
        <v>4</v>
      </c>
      <c r="AR389" s="516">
        <f>(BC401*-1)</f>
        <v>2054.6340619241432</v>
      </c>
      <c r="AS389" s="512"/>
      <c r="AT389" s="503">
        <f>IF(AR389&lt;0,1,-1)</f>
        <v>-1</v>
      </c>
      <c r="AU389" s="512"/>
      <c r="AV389" s="512"/>
      <c r="AW389" s="512"/>
      <c r="AX389" s="512"/>
      <c r="AY389" s="512"/>
      <c r="AZ389" s="512">
        <f>(AY388+BA388)/2</f>
        <v>233.02498234563774</v>
      </c>
      <c r="BA389" s="512">
        <f>AZ389-AM388</f>
        <v>8.2840342574978081</v>
      </c>
      <c r="BB389" s="512">
        <f>(BC393+BD391)/2</f>
        <v>1038.5528923317488</v>
      </c>
      <c r="BC389" s="513">
        <f>(BC392*AM389*100)</f>
        <v>-692.30456900686249</v>
      </c>
      <c r="BD389" s="501">
        <f>INT(BD388)</f>
        <v>32</v>
      </c>
      <c r="BE389" s="502"/>
      <c r="BF389" s="514">
        <f>(BT390-BT389)</f>
        <v>3.4520534647247416</v>
      </c>
      <c r="BG389" s="505">
        <f>(BG390+BF391)/2</f>
        <v>217.97929926665495</v>
      </c>
      <c r="BH389" s="515">
        <f>(BI391*BH391*BG391*BH390*BI390*BF389)</f>
        <v>9243729935504.1621</v>
      </c>
      <c r="BI389" s="505">
        <f>(BH390*BH389*BF389)</f>
        <v>10455821891.905235</v>
      </c>
      <c r="BJ389" s="514">
        <f>INT(BF389+1)</f>
        <v>4</v>
      </c>
      <c r="BK389" s="516">
        <f>(BV401*-1)</f>
        <v>1042.8943132883944</v>
      </c>
      <c r="BL389" s="512"/>
      <c r="BM389" s="503">
        <f>IF(BK389&lt;0,1,-1)</f>
        <v>-1</v>
      </c>
      <c r="BN389" s="512"/>
      <c r="BO389" s="512"/>
      <c r="BP389" s="512"/>
      <c r="BQ389" s="512"/>
      <c r="BR389" s="512"/>
      <c r="BS389" s="512">
        <f>(BR388+BT388)/2</f>
        <v>233.01942023760273</v>
      </c>
      <c r="BT389" s="512">
        <f>BS389-BF388</f>
        <v>8.3007205816028033</v>
      </c>
      <c r="BU389" s="512">
        <f>(BV393+BW391)/2</f>
        <v>1038.5528923317488</v>
      </c>
      <c r="BV389" s="513">
        <f>(BV392*BF389*100)</f>
        <v>-671.99303510971993</v>
      </c>
      <c r="BW389" s="501">
        <f>INT(BW388)</f>
        <v>32</v>
      </c>
      <c r="BX389" s="502"/>
      <c r="BY389" s="797"/>
      <c r="BZ389" s="797"/>
      <c r="CA389" s="797"/>
      <c r="CB389" s="797"/>
      <c r="CC389" s="797"/>
      <c r="CD389" s="797"/>
      <c r="CE389" s="797"/>
      <c r="CF389" s="797"/>
      <c r="CG389" s="797"/>
      <c r="CH389" s="797"/>
      <c r="CI389" s="797"/>
      <c r="CJ389" s="797"/>
      <c r="CK389" s="797"/>
      <c r="CL389" s="797"/>
      <c r="CM389" s="797"/>
      <c r="CN389" s="797"/>
      <c r="CO389" s="797"/>
      <c r="CP389" s="797"/>
      <c r="CQ389" s="797"/>
      <c r="CR389" s="797"/>
      <c r="CS389" s="797"/>
      <c r="CT389" s="797"/>
      <c r="CU389" s="797"/>
    </row>
    <row r="390" spans="1:99" x14ac:dyDescent="0.25">
      <c r="A390" s="163">
        <f>N389</f>
        <v>233.02270530744048</v>
      </c>
      <c r="B390" s="163">
        <f>(N389+N391)/2</f>
        <v>222.99554735974556</v>
      </c>
      <c r="C390" s="154">
        <f>(A389/D391)</f>
        <v>3.2307717369212043E-4</v>
      </c>
      <c r="D390" s="154">
        <f>(A389+B391+C391+D391)</f>
        <v>24595.647301873101</v>
      </c>
      <c r="E390" s="173">
        <f>(E389*C391)</f>
        <v>12380.942776885373</v>
      </c>
      <c r="F390" s="174"/>
      <c r="G390" s="161"/>
      <c r="H390" s="161"/>
      <c r="I390" s="161"/>
      <c r="J390" s="161"/>
      <c r="K390" s="161"/>
      <c r="L390" s="161"/>
      <c r="M390" s="161">
        <f>(N389+N391)/2</f>
        <v>222.99554735974556</v>
      </c>
      <c r="N390" s="161">
        <f>(I388+N389)/2</f>
        <v>182.05627351666089</v>
      </c>
      <c r="O390" s="161">
        <f>A388-N391</f>
        <v>11.763450523300236</v>
      </c>
      <c r="P390" s="161"/>
      <c r="Q390" s="149"/>
      <c r="R390" s="171"/>
      <c r="S390" s="151"/>
      <c r="T390" s="163">
        <f>AG389</f>
        <v>233.01576446557365</v>
      </c>
      <c r="U390" s="163">
        <f>(AG389+AG391)/2</f>
        <v>222.98947412311213</v>
      </c>
      <c r="V390" s="154">
        <f>(T389/W391)</f>
        <v>3.3288133319281219E-4</v>
      </c>
      <c r="W390" s="154">
        <f>(T389+U391+V391+W391)</f>
        <v>23610.669970577772</v>
      </c>
      <c r="X390" s="173">
        <f>(X389*V391)</f>
        <v>12016.294099865048</v>
      </c>
      <c r="Y390" s="174"/>
      <c r="Z390" s="161"/>
      <c r="AA390" s="161"/>
      <c r="AB390" s="161"/>
      <c r="AC390" s="161"/>
      <c r="AD390" s="161"/>
      <c r="AE390" s="161"/>
      <c r="AF390" s="161">
        <f>(AG389+AG391)/2</f>
        <v>222.98947412311213</v>
      </c>
      <c r="AG390" s="161">
        <f>(AB388+AG389)/2</f>
        <v>182.05280309572748</v>
      </c>
      <c r="AH390" s="161">
        <f>T388-AG391</f>
        <v>11.740892787233037</v>
      </c>
      <c r="AI390" s="161"/>
      <c r="AJ390" s="149"/>
      <c r="AK390" s="171"/>
      <c r="AL390" s="151"/>
      <c r="AM390" s="514">
        <f>AZ389</f>
        <v>233.02498234563774</v>
      </c>
      <c r="AN390" s="514">
        <f>(AZ389+AZ391)/2</f>
        <v>222.9975397681682</v>
      </c>
      <c r="AO390" s="505">
        <f>(AM389/AP391)</f>
        <v>3.1994678323014322E-4</v>
      </c>
      <c r="AP390" s="505">
        <f>(AM389+AN391+AO391+AP391)</f>
        <v>24925.235363026695</v>
      </c>
      <c r="AQ390" s="523">
        <f>(AQ389*AO391)</f>
        <v>12502.079125836159</v>
      </c>
      <c r="AR390" s="524"/>
      <c r="AS390" s="512"/>
      <c r="AT390" s="512"/>
      <c r="AU390" s="512"/>
      <c r="AV390" s="512"/>
      <c r="AW390" s="512"/>
      <c r="AX390" s="512"/>
      <c r="AY390" s="512">
        <f>(AZ389+AZ391)/2</f>
        <v>222.9975397681682</v>
      </c>
      <c r="AZ390" s="512">
        <f>(AU388+AZ389)/2</f>
        <v>182.05741203575954</v>
      </c>
      <c r="BA390" s="512">
        <f>AM388-AZ391</f>
        <v>11.770850897441278</v>
      </c>
      <c r="BB390" s="512"/>
      <c r="BC390" s="500"/>
      <c r="BD390" s="502"/>
      <c r="BE390" s="502"/>
      <c r="BF390" s="514">
        <f>BS389</f>
        <v>233.01942023760273</v>
      </c>
      <c r="BG390" s="514">
        <f>(BS389+BS391)/2</f>
        <v>222.99267292363754</v>
      </c>
      <c r="BH390" s="505">
        <f>(BF389/BI391)</f>
        <v>3.2766753551064545E-4</v>
      </c>
      <c r="BI390" s="505">
        <f>(BF389+BG391+BH391+BI391)</f>
        <v>24125.789706267351</v>
      </c>
      <c r="BJ390" s="523">
        <f>(BJ389*BH391)</f>
        <v>12207.495606076134</v>
      </c>
      <c r="BK390" s="524"/>
      <c r="BL390" s="512"/>
      <c r="BM390" s="512"/>
      <c r="BN390" s="512"/>
      <c r="BO390" s="512"/>
      <c r="BP390" s="512"/>
      <c r="BQ390" s="512"/>
      <c r="BR390" s="512">
        <f>(BS389+BS391)/2</f>
        <v>222.99267292363754</v>
      </c>
      <c r="BS390" s="512">
        <f>(BN388+BS389)/2</f>
        <v>182.05463098174204</v>
      </c>
      <c r="BT390" s="512">
        <f>BF388-BS391</f>
        <v>11.752774046327545</v>
      </c>
      <c r="BU390" s="512"/>
      <c r="BV390" s="500"/>
      <c r="BW390" s="502"/>
      <c r="BX390" s="502"/>
      <c r="BY390" s="797"/>
      <c r="BZ390" s="797"/>
      <c r="CA390" s="797"/>
      <c r="CB390" s="797"/>
      <c r="CC390" s="797"/>
      <c r="CD390" s="797"/>
      <c r="CE390" s="797"/>
      <c r="CF390" s="797"/>
      <c r="CG390" s="797"/>
      <c r="CH390" s="797"/>
      <c r="CI390" s="797"/>
      <c r="CJ390" s="797"/>
      <c r="CK390" s="797"/>
      <c r="CL390" s="797"/>
      <c r="CM390" s="797"/>
      <c r="CN390" s="797"/>
      <c r="CO390" s="797"/>
      <c r="CP390" s="797"/>
      <c r="CQ390" s="797"/>
      <c r="CR390" s="797"/>
      <c r="CS390" s="797"/>
      <c r="CT390" s="797"/>
      <c r="CU390" s="797"/>
    </row>
    <row r="391" spans="1:99" x14ac:dyDescent="0.25">
      <c r="A391" s="277">
        <f>N391</f>
        <v>212.96838941205067</v>
      </c>
      <c r="B391" s="154">
        <f>G397</f>
        <v>10748.469511250274</v>
      </c>
      <c r="C391" s="154">
        <f>(B391/A389)</f>
        <v>3095.2356942213432</v>
      </c>
      <c r="D391" s="154">
        <f>(A389*C391)</f>
        <v>10748.469511250274</v>
      </c>
      <c r="E391" s="163">
        <f>INT(A389)+1</f>
        <v>4</v>
      </c>
      <c r="F391" s="174">
        <f>(Q401)</f>
        <v>-2473.5678449373731</v>
      </c>
      <c r="G391" s="161"/>
      <c r="H391" s="152">
        <f>IF(F389&gt;0,-1,1)</f>
        <v>-1</v>
      </c>
      <c r="I391" s="161"/>
      <c r="J391" s="161"/>
      <c r="K391" s="161"/>
      <c r="L391" s="161"/>
      <c r="M391" s="161">
        <f>(N390+P388*2)</f>
        <v>192.91407351666089</v>
      </c>
      <c r="N391" s="161">
        <f>(N389+M391)/2</f>
        <v>212.96838941205067</v>
      </c>
      <c r="O391" s="161">
        <f>(N390+J388)/2</f>
        <v>377.11133675833042</v>
      </c>
      <c r="P391" s="152">
        <f>IF(Q401&gt;1,-1,1)</f>
        <v>1</v>
      </c>
      <c r="Q391" s="162">
        <f>F399-F396</f>
        <v>-3.938912929259514</v>
      </c>
      <c r="R391" s="150">
        <f>R389^2</f>
        <v>1296</v>
      </c>
      <c r="S391" s="151"/>
      <c r="T391" s="277">
        <f>AG391</f>
        <v>212.96318378065058</v>
      </c>
      <c r="U391" s="154">
        <f>Z397</f>
        <v>10301.583620360985</v>
      </c>
      <c r="V391" s="154">
        <f>(U391/T389)</f>
        <v>3004.0735249662621</v>
      </c>
      <c r="W391" s="154">
        <f>(T389*V391)</f>
        <v>10301.583620360985</v>
      </c>
      <c r="X391" s="163">
        <f>INT(T389)+1</f>
        <v>4</v>
      </c>
      <c r="Y391" s="174">
        <f>(AJ401)</f>
        <v>-1220.3101897812069</v>
      </c>
      <c r="Z391" s="161"/>
      <c r="AA391" s="152">
        <f>IF(Y389&gt;0,-1,1)</f>
        <v>-1</v>
      </c>
      <c r="AB391" s="161"/>
      <c r="AC391" s="161"/>
      <c r="AD391" s="161"/>
      <c r="AE391" s="161"/>
      <c r="AF391" s="161">
        <f>(AG390+AI388*2)</f>
        <v>192.91060309572748</v>
      </c>
      <c r="AG391" s="161">
        <f>(AG389+AF391)/2</f>
        <v>212.96318378065058</v>
      </c>
      <c r="AH391" s="161">
        <f>(AG390+AC388)/2</f>
        <v>377.10960154786369</v>
      </c>
      <c r="AI391" s="152">
        <f>IF(AJ401&gt;1,-1,1)</f>
        <v>1</v>
      </c>
      <c r="AJ391" s="162">
        <f>Y399-Y396</f>
        <v>-3.8870461369018132</v>
      </c>
      <c r="AK391" s="150">
        <f>AK389^2</f>
        <v>1296</v>
      </c>
      <c r="AL391" s="151"/>
      <c r="AM391" s="616">
        <f>AZ391</f>
        <v>212.97009719069865</v>
      </c>
      <c r="AN391" s="505">
        <f>AS397</f>
        <v>10898.114382463857</v>
      </c>
      <c r="AO391" s="505">
        <f>(AN391/AM389)</f>
        <v>3125.5197814590397</v>
      </c>
      <c r="AP391" s="505">
        <f>(AM389*AO391)</f>
        <v>10898.114382463857</v>
      </c>
      <c r="AQ391" s="514">
        <f>INT(AM389)+1</f>
        <v>4</v>
      </c>
      <c r="AR391" s="524">
        <f>(BC401)</f>
        <v>-2054.6340619241432</v>
      </c>
      <c r="AS391" s="512"/>
      <c r="AT391" s="503">
        <f>IF(AR389&gt;0,-1,1)</f>
        <v>-1</v>
      </c>
      <c r="AU391" s="512"/>
      <c r="AV391" s="512"/>
      <c r="AW391" s="512"/>
      <c r="AX391" s="512"/>
      <c r="AY391" s="512">
        <f>(AZ390+BB388*2)</f>
        <v>192.91521203575954</v>
      </c>
      <c r="AZ391" s="512">
        <f>(AZ389+AY391)/2</f>
        <v>212.97009719069865</v>
      </c>
      <c r="BA391" s="512">
        <f>(AZ390+AV388)/2</f>
        <v>377.11190601787973</v>
      </c>
      <c r="BB391" s="503">
        <f>IF(BC401&gt;1,-1,1)</f>
        <v>1</v>
      </c>
      <c r="BC391" s="513">
        <f>AR399-AR396</f>
        <v>-3.9559473821863129</v>
      </c>
      <c r="BD391" s="501">
        <f>BD389^2</f>
        <v>1024</v>
      </c>
      <c r="BE391" s="502"/>
      <c r="BF391" s="616">
        <f>BS391</f>
        <v>212.96592560967238</v>
      </c>
      <c r="BG391" s="505">
        <f>BL397</f>
        <v>10535.231875641795</v>
      </c>
      <c r="BH391" s="505">
        <f>(BG391/BF389)</f>
        <v>3051.8739015190336</v>
      </c>
      <c r="BI391" s="505">
        <f>(BF389*BH391)</f>
        <v>10535.231875641795</v>
      </c>
      <c r="BJ391" s="514">
        <f>INT(BF389)+1</f>
        <v>4</v>
      </c>
      <c r="BK391" s="524">
        <f>(BV401)</f>
        <v>-1042.8943132883944</v>
      </c>
      <c r="BL391" s="512"/>
      <c r="BM391" s="503">
        <f>IF(BK389&gt;0,-1,1)</f>
        <v>-1</v>
      </c>
      <c r="BN391" s="512"/>
      <c r="BO391" s="512"/>
      <c r="BP391" s="512"/>
      <c r="BQ391" s="512"/>
      <c r="BR391" s="512">
        <f>(BS390+BU388*2)</f>
        <v>192.91243098174203</v>
      </c>
      <c r="BS391" s="512">
        <f>(BS389+BR391)/2</f>
        <v>212.96592560967238</v>
      </c>
      <c r="BT391" s="512">
        <f>(BS390+BO388)/2</f>
        <v>377.11051549087097</v>
      </c>
      <c r="BU391" s="503">
        <f>IF(BV401&gt;1,-1,1)</f>
        <v>1</v>
      </c>
      <c r="BV391" s="513">
        <f>BK399-BK396</f>
        <v>-3.9143536860803216</v>
      </c>
      <c r="BW391" s="501">
        <f>BW389^2</f>
        <v>1024</v>
      </c>
      <c r="BX391" s="502"/>
      <c r="BY391" s="797"/>
      <c r="BZ391" s="797"/>
      <c r="CA391" s="797"/>
      <c r="CB391" s="797"/>
      <c r="CC391" s="797"/>
      <c r="CD391" s="797"/>
      <c r="CE391" s="797"/>
      <c r="CF391" s="797"/>
      <c r="CG391" s="797"/>
      <c r="CH391" s="797"/>
      <c r="CI391" s="797"/>
      <c r="CJ391" s="797"/>
      <c r="CK391" s="797"/>
      <c r="CL391" s="797"/>
      <c r="CM391" s="797"/>
      <c r="CN391" s="797"/>
      <c r="CO391" s="797"/>
      <c r="CP391" s="797"/>
      <c r="CQ391" s="797"/>
      <c r="CR391" s="797"/>
      <c r="CS391" s="797"/>
      <c r="CT391" s="797"/>
      <c r="CU391" s="797"/>
    </row>
    <row r="392" spans="1:99" x14ac:dyDescent="0.25">
      <c r="A392" s="277">
        <f>(O390+O389)+A388</f>
        <v>244.78615583074071</v>
      </c>
      <c r="B392" s="154">
        <f>(A390+B390)/2</f>
        <v>228.00912633359303</v>
      </c>
      <c r="C392" s="163">
        <f>(C390)</f>
        <v>3.2307717369212043E-4</v>
      </c>
      <c r="D392" s="154">
        <f>(D389*D390*D391*B391*A389)</f>
        <v>1.092365600870318E+23</v>
      </c>
      <c r="E392" s="154">
        <f>(C392*A389)</f>
        <v>1.1219129960583665E-3</v>
      </c>
      <c r="F392" s="161">
        <f>(F394/O394)*O395-F395</f>
        <v>-2465.1531428624071</v>
      </c>
      <c r="G392" s="161"/>
      <c r="H392" s="161"/>
      <c r="I392" s="161"/>
      <c r="J392" s="161"/>
      <c r="K392" s="161"/>
      <c r="L392" s="161"/>
      <c r="M392" s="161"/>
      <c r="N392" s="164">
        <f>(F392+Q401)*F395</f>
        <v>-12216261.430538878</v>
      </c>
      <c r="O392" s="152">
        <f>H391</f>
        <v>-1</v>
      </c>
      <c r="P392" s="152">
        <f>IF(Q401&lt;100,1,-1)</f>
        <v>1</v>
      </c>
      <c r="Q392" s="162">
        <f>Q391+F399</f>
        <v>-1.9695760631028811</v>
      </c>
      <c r="R392" s="171"/>
      <c r="S392" s="151"/>
      <c r="T392" s="277">
        <f>(AH390+AH389)+T388</f>
        <v>244.75665725280669</v>
      </c>
      <c r="U392" s="154">
        <f>(T390+U390)/2</f>
        <v>228.00261929434288</v>
      </c>
      <c r="V392" s="163">
        <f>(V390)</f>
        <v>3.3288133319281219E-4</v>
      </c>
      <c r="W392" s="154">
        <f>(W389*W390*W391*U391*T389)</f>
        <v>8.4275693504588625E+22</v>
      </c>
      <c r="X392" s="154">
        <f>(V392*T389)</f>
        <v>1.1415182954223847E-3</v>
      </c>
      <c r="Y392" s="161">
        <f>(Y394/AH394)*AH395-Y395</f>
        <v>-1215.688776872305</v>
      </c>
      <c r="Z392" s="161"/>
      <c r="AA392" s="161"/>
      <c r="AB392" s="161"/>
      <c r="AC392" s="161"/>
      <c r="AD392" s="161"/>
      <c r="AE392" s="161"/>
      <c r="AF392" s="161"/>
      <c r="AG392" s="164">
        <f>(Y392+AJ401)*Y395</f>
        <v>-2972674.3613037709</v>
      </c>
      <c r="AH392" s="152">
        <f>AA391</f>
        <v>-1</v>
      </c>
      <c r="AI392" s="152">
        <f>IF(AJ401&lt;100,1,-1)</f>
        <v>1</v>
      </c>
      <c r="AJ392" s="162">
        <f>AJ391+Y399</f>
        <v>-1.9211773978450113</v>
      </c>
      <c r="AK392" s="171"/>
      <c r="AL392" s="151"/>
      <c r="AM392" s="616">
        <f>(BA390+BA389)+AM388</f>
        <v>244.79583324307902</v>
      </c>
      <c r="AN392" s="505">
        <f>(AM390+AN390)/2</f>
        <v>228.01126105690298</v>
      </c>
      <c r="AO392" s="514">
        <f>(AO390)</f>
        <v>3.1994678323014322E-4</v>
      </c>
      <c r="AP392" s="505">
        <f>(AP389*AP390*AP391*AN391*AM389)</f>
        <v>1.1886364959967509E+23</v>
      </c>
      <c r="AQ392" s="505">
        <f>(AO392*AM389)</f>
        <v>1.1155957676632496E-3</v>
      </c>
      <c r="AR392" s="512">
        <f>(AR394/BA394)*BA395-AR395</f>
        <v>-2047.8827030953344</v>
      </c>
      <c r="AS392" s="512"/>
      <c r="AT392" s="512"/>
      <c r="AU392" s="512"/>
      <c r="AV392" s="512"/>
      <c r="AW392" s="512"/>
      <c r="AX392" s="512"/>
      <c r="AY392" s="512"/>
      <c r="AZ392" s="515">
        <f>(AR392+BC401)*AR395</f>
        <v>-8429170.6850238666</v>
      </c>
      <c r="BA392" s="503">
        <f>AT391</f>
        <v>-1</v>
      </c>
      <c r="BB392" s="503">
        <f>IF(BC401&lt;100,1,-1)</f>
        <v>1</v>
      </c>
      <c r="BC392" s="513">
        <f>BC391+AR399</f>
        <v>-1.9854917550757314</v>
      </c>
      <c r="BD392" s="502"/>
      <c r="BE392" s="502"/>
      <c r="BF392" s="616">
        <f>(BT390+BT389)+BF388</f>
        <v>244.77219428393028</v>
      </c>
      <c r="BG392" s="505">
        <f>(BF390+BG390)/2</f>
        <v>228.00604658062014</v>
      </c>
      <c r="BH392" s="514">
        <f>(BH390)</f>
        <v>3.2766753551064545E-4</v>
      </c>
      <c r="BI392" s="505">
        <f>(BI389*BI390*BI391*BG391*BF389)</f>
        <v>9.6650793822504176E+22</v>
      </c>
      <c r="BJ392" s="505">
        <f>(BH392*BF389)</f>
        <v>1.131125851237341E-3</v>
      </c>
      <c r="BK392" s="512">
        <f>(BK394/BT394)*BT395-BK395</f>
        <v>-1039.1628887792285</v>
      </c>
      <c r="BL392" s="512"/>
      <c r="BM392" s="512"/>
      <c r="BN392" s="512"/>
      <c r="BO392" s="512"/>
      <c r="BP392" s="512"/>
      <c r="BQ392" s="512"/>
      <c r="BR392" s="512"/>
      <c r="BS392" s="515">
        <f>(BK392+BV401)*BK395</f>
        <v>-2171365.6159774694</v>
      </c>
      <c r="BT392" s="503">
        <f>BM391</f>
        <v>-1</v>
      </c>
      <c r="BU392" s="503">
        <f>IF(BV401&lt;100,1,-1)</f>
        <v>1</v>
      </c>
      <c r="BV392" s="513">
        <f>BV391+BK399</f>
        <v>-1.9466472404803934</v>
      </c>
      <c r="BW392" s="502"/>
      <c r="BX392" s="502"/>
      <c r="BY392" s="797"/>
      <c r="BZ392" s="797"/>
      <c r="CA392" s="797"/>
      <c r="CB392" s="797"/>
      <c r="CC392" s="797"/>
      <c r="CD392" s="797"/>
      <c r="CE392" s="797"/>
      <c r="CF392" s="797"/>
      <c r="CG392" s="797"/>
      <c r="CH392" s="797"/>
      <c r="CI392" s="797"/>
      <c r="CJ392" s="797"/>
      <c r="CK392" s="797"/>
      <c r="CL392" s="797"/>
      <c r="CM392" s="797"/>
      <c r="CN392" s="797"/>
      <c r="CO392" s="797"/>
      <c r="CP392" s="797"/>
      <c r="CQ392" s="797"/>
      <c r="CR392" s="797"/>
      <c r="CS392" s="797"/>
      <c r="CT392" s="797"/>
      <c r="CU392" s="797"/>
    </row>
    <row r="393" spans="1:99" x14ac:dyDescent="0.25">
      <c r="A393" s="277">
        <f>(O390*-1-O389)+A388</f>
        <v>204.6775240399611</v>
      </c>
      <c r="B393" s="154">
        <f>(B390+B389)/2</f>
        <v>220.48875787282185</v>
      </c>
      <c r="C393" s="154">
        <f>(B389+A391)/2</f>
        <v>215.47517889897438</v>
      </c>
      <c r="D393" s="154">
        <f>D389</f>
        <v>11070407237.602039</v>
      </c>
      <c r="E393" s="154">
        <f>(B390+A388)/2</f>
        <v>223.86369364754825</v>
      </c>
      <c r="F393" s="161">
        <f>(F395/O395)</f>
        <v>472.29883312591829</v>
      </c>
      <c r="G393" s="161"/>
      <c r="H393" s="161"/>
      <c r="I393" s="161"/>
      <c r="J393" s="161"/>
      <c r="K393" s="161"/>
      <c r="L393" s="161"/>
      <c r="M393" s="161"/>
      <c r="N393" s="161"/>
      <c r="O393" s="152">
        <f>H389</f>
        <v>-1</v>
      </c>
      <c r="P393" s="152">
        <f>IF(Q401&lt;0,-1,1)</f>
        <v>-1</v>
      </c>
      <c r="Q393" s="174">
        <f>Q368</f>
        <v>1319.3792127587394</v>
      </c>
      <c r="R393" s="171"/>
      <c r="S393" s="151"/>
      <c r="T393" s="277">
        <f>(AH390*-1-AH389)+T388</f>
        <v>204.65149588296055</v>
      </c>
      <c r="U393" s="154">
        <f>(U390+U389)/2</f>
        <v>220.48290153749673</v>
      </c>
      <c r="V393" s="154">
        <f>(U389+T391)/2</f>
        <v>215.46975636626598</v>
      </c>
      <c r="W393" s="154">
        <f>W389</f>
        <v>9808274363.7653885</v>
      </c>
      <c r="X393" s="154">
        <f>(U390+T388)/2</f>
        <v>223.84677534549786</v>
      </c>
      <c r="Y393" s="161">
        <f>(Y395/AH395)</f>
        <v>411.18426338930766</v>
      </c>
      <c r="Z393" s="161"/>
      <c r="AA393" s="161"/>
      <c r="AB393" s="161"/>
      <c r="AC393" s="161"/>
      <c r="AD393" s="161"/>
      <c r="AE393" s="161"/>
      <c r="AF393" s="161"/>
      <c r="AG393" s="161"/>
      <c r="AH393" s="152">
        <f>AA389</f>
        <v>-1</v>
      </c>
      <c r="AI393" s="152">
        <f>IF(AJ401&lt;0,-1,1)</f>
        <v>-1</v>
      </c>
      <c r="AJ393" s="174">
        <f>AJ368</f>
        <v>1319.3792127587394</v>
      </c>
      <c r="AK393" s="171"/>
      <c r="AL393" s="151"/>
      <c r="AM393" s="616">
        <f>(BA390*-1-BA389)+AM388</f>
        <v>204.68606293320084</v>
      </c>
      <c r="AN393" s="505">
        <f>(AN390+AN389)/2</f>
        <v>220.49067912380082</v>
      </c>
      <c r="AO393" s="505">
        <f>(AN389+AM391)/2</f>
        <v>215.47695783506603</v>
      </c>
      <c r="AP393" s="505">
        <f>AP389</f>
        <v>11515371658.023247</v>
      </c>
      <c r="AQ393" s="505">
        <f>(AN390+AM388)/2</f>
        <v>223.86924392815405</v>
      </c>
      <c r="AR393" s="512">
        <f>(AR395/BA395)</f>
        <v>493.97188352788618</v>
      </c>
      <c r="AS393" s="512"/>
      <c r="AT393" s="512"/>
      <c r="AU393" s="512"/>
      <c r="AV393" s="512"/>
      <c r="AW393" s="512"/>
      <c r="AX393" s="512"/>
      <c r="AY393" s="512"/>
      <c r="AZ393" s="512"/>
      <c r="BA393" s="503">
        <f>AT389</f>
        <v>-1</v>
      </c>
      <c r="BB393" s="503">
        <f>IF(BC401&lt;0,-1,1)</f>
        <v>-1</v>
      </c>
      <c r="BC393" s="524">
        <f>BC368</f>
        <v>1053.1057846634974</v>
      </c>
      <c r="BD393" s="502"/>
      <c r="BE393" s="502"/>
      <c r="BF393" s="616">
        <f>(BT390*-1-BT389)+BF388</f>
        <v>204.66520502806958</v>
      </c>
      <c r="BG393" s="505">
        <f>(BG390+BG389)/2</f>
        <v>220.48598609514625</v>
      </c>
      <c r="BH393" s="505">
        <f>(BG389+BF391)/2</f>
        <v>215.47261243816365</v>
      </c>
      <c r="BI393" s="505">
        <f>BI389</f>
        <v>10455821891.905235</v>
      </c>
      <c r="BJ393" s="505">
        <f>(BG390+BF388)/2</f>
        <v>223.85568628981872</v>
      </c>
      <c r="BK393" s="512">
        <f>(BK395/BT395)</f>
        <v>442.46926830245326</v>
      </c>
      <c r="BL393" s="512"/>
      <c r="BM393" s="512"/>
      <c r="BN393" s="512"/>
      <c r="BO393" s="512"/>
      <c r="BP393" s="512"/>
      <c r="BQ393" s="512"/>
      <c r="BR393" s="512"/>
      <c r="BS393" s="512"/>
      <c r="BT393" s="503">
        <f>BM389</f>
        <v>-1</v>
      </c>
      <c r="BU393" s="503">
        <f>IF(BV401&lt;0,-1,1)</f>
        <v>-1</v>
      </c>
      <c r="BV393" s="524">
        <f>BV368</f>
        <v>1053.1057846634974</v>
      </c>
      <c r="BW393" s="502"/>
      <c r="BX393" s="502"/>
      <c r="BY393" s="797"/>
      <c r="BZ393" s="797"/>
      <c r="CA393" s="797"/>
      <c r="CB393" s="797"/>
      <c r="CC393" s="797"/>
      <c r="CD393" s="797"/>
      <c r="CE393" s="797"/>
      <c r="CF393" s="797"/>
      <c r="CG393" s="797"/>
      <c r="CH393" s="797"/>
      <c r="CI393" s="797"/>
      <c r="CJ393" s="797"/>
      <c r="CK393" s="797"/>
      <c r="CL393" s="797"/>
      <c r="CM393" s="797"/>
      <c r="CN393" s="797"/>
      <c r="CO393" s="797"/>
      <c r="CP393" s="797"/>
      <c r="CQ393" s="797"/>
      <c r="CR393" s="797"/>
      <c r="CS393" s="797"/>
      <c r="CT393" s="797"/>
      <c r="CU393" s="797"/>
    </row>
    <row r="394" spans="1:99" x14ac:dyDescent="0.25">
      <c r="A394" s="163">
        <f>(A393-A392)+A388-A390</f>
        <v>-48.399497162869181</v>
      </c>
      <c r="B394" s="163">
        <f>(A394*-1)+A395</f>
        <v>20.054315895389806</v>
      </c>
      <c r="C394" s="163">
        <f>(B394/2)+A389</f>
        <v>13.499743098905569</v>
      </c>
      <c r="D394" s="163">
        <f>(C402+C395+B401+B394+A389)*-1</f>
        <v>7.7525873442222775</v>
      </c>
      <c r="E394" s="163">
        <f>(C394*A389)*D394</f>
        <v>363.43359971476173</v>
      </c>
      <c r="F394" s="152">
        <f>(E394*A389)</f>
        <v>1262.0541218205224</v>
      </c>
      <c r="G394" s="152">
        <f>(F394+E394)</f>
        <v>1625.487721535284</v>
      </c>
      <c r="H394" s="161"/>
      <c r="I394" s="161"/>
      <c r="J394" s="161"/>
      <c r="K394" s="161"/>
      <c r="L394" s="161"/>
      <c r="M394" s="161"/>
      <c r="N394" s="161"/>
      <c r="O394" s="161">
        <v>785.5</v>
      </c>
      <c r="P394" s="152">
        <f>IF(N392&gt;-1,1,-1)</f>
        <v>-1</v>
      </c>
      <c r="Q394" s="149">
        <f>Q346</f>
        <v>0.9</v>
      </c>
      <c r="R394" s="171"/>
      <c r="S394" s="151"/>
      <c r="T394" s="163">
        <f>(T393-T392)+T388-T390</f>
        <v>-48.416849267536179</v>
      </c>
      <c r="U394" s="163">
        <f>(T394*-1)+T395</f>
        <v>20.052580684923072</v>
      </c>
      <c r="V394" s="163">
        <f>(U394/2)+T389</f>
        <v>13.455495232004537</v>
      </c>
      <c r="W394" s="163">
        <f>(V402+V395+U401+U394+T389)*-1</f>
        <v>7.7303766502484237</v>
      </c>
      <c r="X394" s="163">
        <f>(V394*T389)*W394</f>
        <v>356.69233407943119</v>
      </c>
      <c r="Y394" s="152">
        <f>(X394*T389)</f>
        <v>1223.1710960876912</v>
      </c>
      <c r="Z394" s="152">
        <f>(Y394+X394)</f>
        <v>1579.8634301671225</v>
      </c>
      <c r="AA394" s="161"/>
      <c r="AB394" s="161"/>
      <c r="AC394" s="161"/>
      <c r="AD394" s="161"/>
      <c r="AE394" s="161"/>
      <c r="AF394" s="161"/>
      <c r="AG394" s="161"/>
      <c r="AH394" s="161">
        <v>785.5</v>
      </c>
      <c r="AI394" s="152">
        <f>IF(AG392&gt;-1,1,-1)</f>
        <v>-1</v>
      </c>
      <c r="AJ394" s="149">
        <f>AJ346</f>
        <v>0.51</v>
      </c>
      <c r="AK394" s="171"/>
      <c r="AL394" s="151"/>
      <c r="AM394" s="514">
        <f>(AM393-AM392)+AM388-AM390</f>
        <v>-48.39380456737598</v>
      </c>
      <c r="AN394" s="514">
        <f>(AM394*-1)+AM395</f>
        <v>20.054885154939086</v>
      </c>
      <c r="AO394" s="514">
        <f>(AN394/2)+AM389</f>
        <v>13.514259217413013</v>
      </c>
      <c r="AP394" s="514">
        <f>(AO402+AO395+AN401+AN394+AM389)*-1</f>
        <v>7.7598738664534608</v>
      </c>
      <c r="AQ394" s="514">
        <f>(AO394*AM389)*AP394</f>
        <v>365.65878915381325</v>
      </c>
      <c r="AR394" s="503">
        <f>(AQ394*AM389)</f>
        <v>1274.9851505630968</v>
      </c>
      <c r="AS394" s="503">
        <f>(AR394+AQ394)</f>
        <v>1640.6439397169102</v>
      </c>
      <c r="AT394" s="512"/>
      <c r="AU394" s="512"/>
      <c r="AV394" s="512"/>
      <c r="AW394" s="512"/>
      <c r="AX394" s="512"/>
      <c r="AY394" s="512"/>
      <c r="AZ394" s="512"/>
      <c r="BA394" s="512">
        <v>785.5</v>
      </c>
      <c r="BB394" s="503">
        <f>IF(AZ392&gt;-1,1,-1)</f>
        <v>-1</v>
      </c>
      <c r="BC394" s="500">
        <f>BC346</f>
        <v>0.9</v>
      </c>
      <c r="BD394" s="502"/>
      <c r="BE394" s="502"/>
      <c r="BF394" s="514">
        <f>(BF393-BF392)+BF388-BF390</f>
        <v>-48.4077098374635</v>
      </c>
      <c r="BG394" s="514">
        <f>(BF394*-1)+BF395</f>
        <v>20.053494627930348</v>
      </c>
      <c r="BH394" s="514">
        <f>(BG394/2)+BF389</f>
        <v>13.478800778689916</v>
      </c>
      <c r="BI394" s="514">
        <f>(BH402+BH395+BG401+BG394+BF389)*-1</f>
        <v>7.7420751207414753</v>
      </c>
      <c r="BJ394" s="514">
        <f>(BH394*BF389)*BI394</f>
        <v>360.23520120137351</v>
      </c>
      <c r="BK394" s="503">
        <f>(BJ394*BF389)</f>
        <v>1243.5511744230159</v>
      </c>
      <c r="BL394" s="503">
        <f>(BK394+BJ394)</f>
        <v>1603.7863756243894</v>
      </c>
      <c r="BM394" s="512"/>
      <c r="BN394" s="512"/>
      <c r="BO394" s="512"/>
      <c r="BP394" s="512"/>
      <c r="BQ394" s="512"/>
      <c r="BR394" s="512"/>
      <c r="BS394" s="512"/>
      <c r="BT394" s="512">
        <v>785.5</v>
      </c>
      <c r="BU394" s="503">
        <f>IF(BS392&gt;-1,1,-1)</f>
        <v>-1</v>
      </c>
      <c r="BV394" s="500">
        <f>BV346</f>
        <v>0.51</v>
      </c>
      <c r="BW394" s="502"/>
      <c r="BX394" s="502"/>
      <c r="BY394" s="797"/>
      <c r="BZ394" s="797"/>
      <c r="CA394" s="797"/>
      <c r="CB394" s="797"/>
      <c r="CC394" s="797"/>
      <c r="CD394" s="797"/>
      <c r="CE394" s="797"/>
      <c r="CF394" s="797"/>
      <c r="CG394" s="797"/>
      <c r="CH394" s="797"/>
      <c r="CI394" s="797"/>
      <c r="CJ394" s="797"/>
      <c r="CK394" s="797"/>
      <c r="CL394" s="797"/>
      <c r="CM394" s="797"/>
      <c r="CN394" s="797"/>
      <c r="CO394" s="797"/>
      <c r="CP394" s="797"/>
      <c r="CQ394" s="797"/>
      <c r="CR394" s="797"/>
      <c r="CS394" s="797"/>
      <c r="CT394" s="797"/>
      <c r="CU394" s="797"/>
    </row>
    <row r="395" spans="1:99" x14ac:dyDescent="0.25">
      <c r="A395" s="163">
        <f>(A393-A392)+A388-A391</f>
        <v>-28.345181267479376</v>
      </c>
      <c r="B395" s="163">
        <f>A396+(A395*-1)+A394</f>
        <v>-96.798994325738363</v>
      </c>
      <c r="C395" s="154">
        <f>(B395/10)</f>
        <v>-9.679899432573837</v>
      </c>
      <c r="D395" s="154"/>
      <c r="E395" s="154"/>
      <c r="F395" s="161">
        <f>(Q401*-1)</f>
        <v>2473.5678449373731</v>
      </c>
      <c r="G395" s="161"/>
      <c r="H395" s="161"/>
      <c r="I395" s="161"/>
      <c r="J395" s="161"/>
      <c r="K395" s="161"/>
      <c r="L395" s="161"/>
      <c r="M395" s="161"/>
      <c r="N395" s="161"/>
      <c r="O395" s="161">
        <f>(H403/1000)*8.9</f>
        <v>5.2372940000000003</v>
      </c>
      <c r="P395" s="152">
        <f>(P397+O399)/2</f>
        <v>1275.7062185649534</v>
      </c>
      <c r="Q395" s="149">
        <f>H403/(Q402*1000)</f>
        <v>0.11236585831582968</v>
      </c>
      <c r="R395" s="171"/>
      <c r="S395" s="151"/>
      <c r="T395" s="163">
        <f>(T393-T392)+T388-T391</f>
        <v>-28.364268582613107</v>
      </c>
      <c r="U395" s="163">
        <f>T396+(T395*-1)+T394</f>
        <v>-96.833698535072358</v>
      </c>
      <c r="V395" s="154">
        <f>(U395/10)</f>
        <v>-9.6833698535072354</v>
      </c>
      <c r="W395" s="154"/>
      <c r="X395" s="154"/>
      <c r="Y395" s="161">
        <f>(AJ401*-1)</f>
        <v>1220.3101897812069</v>
      </c>
      <c r="Z395" s="161"/>
      <c r="AA395" s="161"/>
      <c r="AB395" s="161"/>
      <c r="AC395" s="161"/>
      <c r="AD395" s="161"/>
      <c r="AE395" s="161"/>
      <c r="AF395" s="161"/>
      <c r="AG395" s="161"/>
      <c r="AH395" s="161">
        <f>(AA403/1000)*8.9</f>
        <v>2.967794</v>
      </c>
      <c r="AI395" s="152">
        <f>(AI397+AH399)/2</f>
        <v>1275.830388325955</v>
      </c>
      <c r="AJ395" s="149">
        <f>AA403/(AJ402*1000)</f>
        <v>0.11235175202156333</v>
      </c>
      <c r="AK395" s="171"/>
      <c r="AL395" s="151"/>
      <c r="AM395" s="514">
        <f>(AM393-AM392)+AM388-AM391</f>
        <v>-28.338919412436894</v>
      </c>
      <c r="AN395" s="514">
        <f>AM396+(AM395*-1)+AM394</f>
        <v>-96.78760913475196</v>
      </c>
      <c r="AO395" s="505">
        <f>(AN395/10)</f>
        <v>-9.6787609134751964</v>
      </c>
      <c r="AP395" s="505"/>
      <c r="AQ395" s="505"/>
      <c r="AR395" s="512">
        <f>(BC401*-1)</f>
        <v>2054.6340619241432</v>
      </c>
      <c r="AS395" s="512"/>
      <c r="AT395" s="512"/>
      <c r="AU395" s="512"/>
      <c r="AV395" s="512"/>
      <c r="AW395" s="512"/>
      <c r="AX395" s="512"/>
      <c r="AY395" s="512"/>
      <c r="AZ395" s="512"/>
      <c r="BA395" s="512">
        <f>(AT403/1000)*8.9</f>
        <v>4.159415000000001</v>
      </c>
      <c r="BB395" s="503">
        <f>(BB397+BA399)/2</f>
        <v>1013.1196864065839</v>
      </c>
      <c r="BC395" s="500">
        <f>AT403/(BC402*1000)</f>
        <v>0.11237076220245251</v>
      </c>
      <c r="BD395" s="502"/>
      <c r="BE395" s="502"/>
      <c r="BF395" s="514">
        <f>(BF393-BF392)+BF388-BF391</f>
        <v>-28.354215209533152</v>
      </c>
      <c r="BG395" s="514">
        <f>BF396+(BF395*-1)+BF394</f>
        <v>-96.815419674927</v>
      </c>
      <c r="BH395" s="505">
        <f>(BG395/10)</f>
        <v>-9.6815419674927004</v>
      </c>
      <c r="BI395" s="505"/>
      <c r="BJ395" s="505"/>
      <c r="BK395" s="512">
        <f>(BV401*-1)</f>
        <v>1042.8943132883944</v>
      </c>
      <c r="BL395" s="512"/>
      <c r="BM395" s="512"/>
      <c r="BN395" s="512"/>
      <c r="BO395" s="512"/>
      <c r="BP395" s="512"/>
      <c r="BQ395" s="512"/>
      <c r="BR395" s="512"/>
      <c r="BS395" s="512"/>
      <c r="BT395" s="512">
        <f>(BM403/1000)*8.9</f>
        <v>2.3569870000000002</v>
      </c>
      <c r="BU395" s="503">
        <f>(BU397+BT399)/2</f>
        <v>1013.198703527221</v>
      </c>
      <c r="BV395" s="500">
        <f>BM403/(BV402*1000)</f>
        <v>0.11235893084429359</v>
      </c>
      <c r="BW395" s="502"/>
      <c r="BX395" s="502"/>
      <c r="BY395" s="797"/>
      <c r="BZ395" s="797"/>
      <c r="CA395" s="797"/>
      <c r="CB395" s="797"/>
      <c r="CC395" s="797"/>
      <c r="CD395" s="797"/>
      <c r="CE395" s="797"/>
      <c r="CF395" s="797"/>
      <c r="CG395" s="797"/>
      <c r="CH395" s="797"/>
      <c r="CI395" s="797"/>
      <c r="CJ395" s="797"/>
      <c r="CK395" s="797"/>
      <c r="CL395" s="797"/>
      <c r="CM395" s="797"/>
      <c r="CN395" s="797"/>
      <c r="CO395" s="797"/>
      <c r="CP395" s="797"/>
      <c r="CQ395" s="797"/>
      <c r="CR395" s="797"/>
      <c r="CS395" s="797"/>
      <c r="CT395" s="797"/>
      <c r="CU395" s="797"/>
    </row>
    <row r="396" spans="1:99" x14ac:dyDescent="0.25">
      <c r="A396" s="163">
        <f>(A395+A394)</f>
        <v>-76.744678430348557</v>
      </c>
      <c r="B396" s="154"/>
      <c r="C396" s="154">
        <f>((F396+E396*-1)+E400)*10-A389+O396*-1-C392*111</f>
        <v>10.243356971484085</v>
      </c>
      <c r="D396" s="154"/>
      <c r="E396" s="154">
        <f>(E400+O396+F396)</f>
        <v>-6.7894070981362908E-2</v>
      </c>
      <c r="F396" s="161">
        <f>(O396*E400)</f>
        <v>5.9082497954161468</v>
      </c>
      <c r="G396" s="161"/>
      <c r="H396" s="191">
        <f>(P397+H397)/2</f>
        <v>973.43864883055335</v>
      </c>
      <c r="I396" s="161"/>
      <c r="J396" s="161"/>
      <c r="K396" s="161"/>
      <c r="L396" s="161"/>
      <c r="M396" s="161"/>
      <c r="N396" s="161">
        <f>(A392-A388)-(A388-B393)</f>
        <v>15.811233832860751</v>
      </c>
      <c r="O396" s="152">
        <f>(P396+A389+C392*10)</f>
        <v>-1.2501639717249613</v>
      </c>
      <c r="P396" s="161">
        <f>E400</f>
        <v>-4.7259798946725482</v>
      </c>
      <c r="Q396" s="162">
        <f>(Q392*Q391*10)</f>
        <v>77.579886201159908</v>
      </c>
      <c r="R396" s="171"/>
      <c r="S396" s="151"/>
      <c r="T396" s="163">
        <f>(T395+T394)</f>
        <v>-76.781117850149286</v>
      </c>
      <c r="U396" s="154"/>
      <c r="V396" s="154">
        <f>((Y396+X396*-1)+X400)*10-T389+AH396*-1-V392*111</f>
        <v>10.2833775567061</v>
      </c>
      <c r="W396" s="154"/>
      <c r="X396" s="154">
        <f>(X400+AH396+Y396)</f>
        <v>-7.9533785867860196E-2</v>
      </c>
      <c r="Y396" s="161">
        <f>(AH396*X400)</f>
        <v>5.8529148759586151</v>
      </c>
      <c r="Z396" s="161"/>
      <c r="AA396" s="191">
        <f>(AI397+AA397)/2</f>
        <v>973.53239110043137</v>
      </c>
      <c r="AB396" s="161"/>
      <c r="AC396" s="161"/>
      <c r="AD396" s="161"/>
      <c r="AE396" s="161"/>
      <c r="AF396" s="161"/>
      <c r="AG396" s="161">
        <f>(T392-T388)-(T388-U393)</f>
        <v>15.831405654536184</v>
      </c>
      <c r="AH396" s="152">
        <f>(AI396+T389+V392*10)</f>
        <v>-1.2499574794757728</v>
      </c>
      <c r="AI396" s="161">
        <f>X400</f>
        <v>-4.6824911823507023</v>
      </c>
      <c r="AJ396" s="162">
        <f>(AJ392*AJ391*10)</f>
        <v>74.677051825965293</v>
      </c>
      <c r="AK396" s="171"/>
      <c r="AL396" s="151"/>
      <c r="AM396" s="514">
        <f>(AM395+AM394)</f>
        <v>-76.732723979812874</v>
      </c>
      <c r="AN396" s="505"/>
      <c r="AO396" s="505">
        <f>((AR396+AQ396*-1)+AQ400)*10-AM389+BA396*-1-AO392*111</f>
        <v>10.230208664983408</v>
      </c>
      <c r="AP396" s="505"/>
      <c r="AQ396" s="505">
        <f>(AQ400+BA396+AR396)</f>
        <v>-6.4074807181681237E-2</v>
      </c>
      <c r="AR396" s="512">
        <f>(BA396*AQ400)</f>
        <v>5.9264030092968945</v>
      </c>
      <c r="AS396" s="512"/>
      <c r="AT396" s="542">
        <f>(BB397+AT397)/2</f>
        <v>773.1199729485495</v>
      </c>
      <c r="AU396" s="512"/>
      <c r="AV396" s="512"/>
      <c r="AW396" s="512"/>
      <c r="AX396" s="512"/>
      <c r="AY396" s="512"/>
      <c r="AZ396" s="512">
        <f>(AM392-AM388)-(AM388-AN393)</f>
        <v>15.804616190599972</v>
      </c>
      <c r="BA396" s="503">
        <f>(BB396+AM389+AO392*10)</f>
        <v>-1.250230854351402</v>
      </c>
      <c r="BB396" s="512">
        <f>AQ400</f>
        <v>-4.7402469621271734</v>
      </c>
      <c r="BC396" s="513">
        <f>(BC392*BC391*10)</f>
        <v>78.54500910844348</v>
      </c>
      <c r="BD396" s="502"/>
      <c r="BE396" s="502"/>
      <c r="BF396" s="514">
        <f>(BF395+BF394)</f>
        <v>-76.761925046996652</v>
      </c>
      <c r="BG396" s="505"/>
      <c r="BH396" s="505">
        <f>((BK396+BJ396*-1)+BJ400)*10-BF389+BT396*-1-BH392*111</f>
        <v>10.262309566629538</v>
      </c>
      <c r="BI396" s="505"/>
      <c r="BJ396" s="505">
        <f>(BJ400+BT396+BK396)</f>
        <v>-7.3403486180682265E-2</v>
      </c>
      <c r="BK396" s="512">
        <f>(BT396*BJ400)</f>
        <v>5.8820601316802499</v>
      </c>
      <c r="BL396" s="512"/>
      <c r="BM396" s="542">
        <f>(BU397+BM397)/2</f>
        <v>773.17962832133094</v>
      </c>
      <c r="BN396" s="512"/>
      <c r="BO396" s="512"/>
      <c r="BP396" s="512"/>
      <c r="BQ396" s="512"/>
      <c r="BR396" s="512"/>
      <c r="BS396" s="512">
        <f>(BF392-BF388)-(BF388-BG393)</f>
        <v>15.820781067076666</v>
      </c>
      <c r="BT396" s="503">
        <f>(BU396+BF389+BH392*10)</f>
        <v>-1.250066738890542</v>
      </c>
      <c r="BU396" s="512">
        <f>BJ400</f>
        <v>-4.7053968789703902</v>
      </c>
      <c r="BV396" s="513">
        <f>(BV392*BV391*10)</f>
        <v>76.198658012725133</v>
      </c>
      <c r="BW396" s="502"/>
      <c r="BX396" s="502"/>
      <c r="BY396" s="797"/>
      <c r="BZ396" s="797"/>
      <c r="CA396" s="797"/>
      <c r="CB396" s="797"/>
      <c r="CC396" s="797"/>
      <c r="CD396" s="797"/>
      <c r="CE396" s="797"/>
      <c r="CF396" s="797"/>
      <c r="CG396" s="797"/>
      <c r="CH396" s="797"/>
      <c r="CI396" s="797"/>
      <c r="CJ396" s="797"/>
      <c r="CK396" s="797"/>
      <c r="CL396" s="797"/>
      <c r="CM396" s="797"/>
      <c r="CN396" s="797"/>
      <c r="CO396" s="797"/>
      <c r="CP396" s="797"/>
      <c r="CQ396" s="797"/>
      <c r="CR396" s="797"/>
      <c r="CS396" s="797"/>
      <c r="CT396" s="797"/>
      <c r="CU396" s="797"/>
    </row>
    <row r="397" spans="1:99" x14ac:dyDescent="0.25">
      <c r="A397" s="163">
        <f>(A388+A396)</f>
        <v>147.98716150500235</v>
      </c>
      <c r="B397" s="154">
        <f>(A388+A397)/2</f>
        <v>186.35950072017664</v>
      </c>
      <c r="C397" s="154">
        <f>(E393-A388)-(A388-B397)</f>
        <v>-39.240485502976924</v>
      </c>
      <c r="D397" s="163">
        <f>(B393+C393)/2</f>
        <v>217.98196838589811</v>
      </c>
      <c r="E397" s="163">
        <f>(A392+A398)</f>
        <v>450.33182615850444</v>
      </c>
      <c r="F397" s="191">
        <f>(G394*2)-G401</f>
        <v>3095.2356942213432</v>
      </c>
      <c r="G397" s="191">
        <f>(A389*F397)</f>
        <v>10748.469511250274</v>
      </c>
      <c r="H397" s="191">
        <f>(N399+P397)/2</f>
        <v>649.29098485778741</v>
      </c>
      <c r="I397" s="191"/>
      <c r="J397" s="191"/>
      <c r="K397" s="191"/>
      <c r="L397" s="191"/>
      <c r="M397" s="191"/>
      <c r="N397" s="191">
        <f>(O397+O398)/2</f>
        <v>1317.0826363656306</v>
      </c>
      <c r="O397" s="152">
        <f>(A391+C393)/2*Q402/Q394</f>
        <v>1246.5327595804656</v>
      </c>
      <c r="P397" s="152">
        <f>B390*Q402/Q394</f>
        <v>1297.5863128033193</v>
      </c>
      <c r="Q397" s="149">
        <f>(A393+B390)/2</f>
        <v>213.83653569985333</v>
      </c>
      <c r="R397" s="171"/>
      <c r="S397" s="151"/>
      <c r="T397" s="163">
        <f>(T388+T396)</f>
        <v>147.92295871773433</v>
      </c>
      <c r="U397" s="154">
        <f>(T388+T397)/2</f>
        <v>186.31351764280896</v>
      </c>
      <c r="V397" s="154">
        <f>(X393-T388)-(T388-U397)</f>
        <v>-39.247860147460415</v>
      </c>
      <c r="W397" s="163">
        <f>(U393+V393)/2</f>
        <v>217.97632895188136</v>
      </c>
      <c r="X397" s="163">
        <f>(T392+T398)</f>
        <v>450.26545435815297</v>
      </c>
      <c r="Y397" s="191">
        <f>(Z394*2)-Z401</f>
        <v>3004.0735249662621</v>
      </c>
      <c r="Z397" s="191">
        <f>(T389*Y397)</f>
        <v>10301.583620360985</v>
      </c>
      <c r="AA397" s="191">
        <f>(AG399+AI397)/2</f>
        <v>649.35348965694743</v>
      </c>
      <c r="AB397" s="191"/>
      <c r="AC397" s="191"/>
      <c r="AD397" s="191"/>
      <c r="AE397" s="191"/>
      <c r="AF397" s="191"/>
      <c r="AG397" s="191">
        <f>(AH397+AH398)/2</f>
        <v>1317.192668621647</v>
      </c>
      <c r="AH397" s="152">
        <f>(T391+V393)/2*AJ402/AJ394</f>
        <v>1246.6558493686748</v>
      </c>
      <c r="AI397" s="152">
        <f>U390*AJ402/AJ394</f>
        <v>1297.7112925439153</v>
      </c>
      <c r="AJ397" s="149">
        <f>(T393+U390)/2</f>
        <v>213.82048500303634</v>
      </c>
      <c r="AK397" s="171"/>
      <c r="AL397" s="151"/>
      <c r="AM397" s="514">
        <f>(AM388+AM396)</f>
        <v>148.00822410832706</v>
      </c>
      <c r="AN397" s="505">
        <f>(AM388+AM397)/2</f>
        <v>186.37458609823349</v>
      </c>
      <c r="AO397" s="505">
        <f>(AQ393-AM388)-(AM388-AN397)</f>
        <v>-39.238066149892319</v>
      </c>
      <c r="AP397" s="514">
        <f>(AN393+AO393)/2</f>
        <v>217.98381847943341</v>
      </c>
      <c r="AQ397" s="514">
        <f>(AM392+AM398)</f>
        <v>450.35360033626574</v>
      </c>
      <c r="AR397" s="542">
        <f>(AS394*2)-AS401</f>
        <v>3125.5197814590397</v>
      </c>
      <c r="AS397" s="542">
        <f>(AM389*AR397)</f>
        <v>10898.114382463857</v>
      </c>
      <c r="AT397" s="542">
        <f>(AZ399+BB397)/2</f>
        <v>515.74353712397499</v>
      </c>
      <c r="AU397" s="542"/>
      <c r="AV397" s="542"/>
      <c r="AW397" s="542"/>
      <c r="AX397" s="542"/>
      <c r="AY397" s="542"/>
      <c r="AZ397" s="542">
        <f>(BA397+BA398)/2</f>
        <v>1045.9840711900686</v>
      </c>
      <c r="BA397" s="503">
        <f>(AM391+AO393)/2*BC402/BC394</f>
        <v>989.95072325119736</v>
      </c>
      <c r="BB397" s="503">
        <f>AN390*BC402/BC394</f>
        <v>1030.4964087731239</v>
      </c>
      <c r="BC397" s="500">
        <f>(AM393+AN390)/2</f>
        <v>213.84180135068453</v>
      </c>
      <c r="BD397" s="502"/>
      <c r="BE397" s="502"/>
      <c r="BF397" s="514">
        <f>(BF388+BF396)</f>
        <v>147.95677460900328</v>
      </c>
      <c r="BG397" s="505">
        <f>(BF388+BF397)/2</f>
        <v>186.33773713250162</v>
      </c>
      <c r="BH397" s="505">
        <f>(BJ393-BF388)-(BF388-BG397)</f>
        <v>-39.243975889679518</v>
      </c>
      <c r="BI397" s="514">
        <f>(BG393+BH393)/2</f>
        <v>217.97929926665495</v>
      </c>
      <c r="BJ397" s="514">
        <f>(BF392+BF398)</f>
        <v>450.30041267818103</v>
      </c>
      <c r="BK397" s="542">
        <f>(BL394*2)-BL401</f>
        <v>3051.873901519034</v>
      </c>
      <c r="BL397" s="542">
        <f>(BF389*BK397)</f>
        <v>10535.231875641795</v>
      </c>
      <c r="BM397" s="542">
        <f>(BS399+BU397)/2</f>
        <v>515.78331530734079</v>
      </c>
      <c r="BN397" s="542"/>
      <c r="BO397" s="542"/>
      <c r="BP397" s="542"/>
      <c r="BQ397" s="542"/>
      <c r="BR397" s="542"/>
      <c r="BS397" s="542">
        <f>(BT397+BT398)/2</f>
        <v>1046.0540917166245</v>
      </c>
      <c r="BT397" s="503">
        <f>(BF391+BH393)/2*BV402/BV394</f>
        <v>990.0290531164211</v>
      </c>
      <c r="BU397" s="503">
        <f>BG390*BV402/BV394</f>
        <v>1030.575941335321</v>
      </c>
      <c r="BV397" s="500">
        <f>(BF393+BG390)/2</f>
        <v>213.82893897585356</v>
      </c>
      <c r="BW397" s="502"/>
      <c r="BX397" s="502"/>
      <c r="BY397" s="797"/>
      <c r="BZ397" s="797"/>
      <c r="CA397" s="797"/>
      <c r="CB397" s="797"/>
      <c r="CC397" s="797"/>
      <c r="CD397" s="797"/>
      <c r="CE397" s="797"/>
      <c r="CF397" s="797"/>
      <c r="CG397" s="797"/>
      <c r="CH397" s="797"/>
      <c r="CI397" s="797"/>
      <c r="CJ397" s="797"/>
      <c r="CK397" s="797"/>
      <c r="CL397" s="797"/>
      <c r="CM397" s="797"/>
      <c r="CN397" s="797"/>
      <c r="CO397" s="797"/>
      <c r="CP397" s="797"/>
      <c r="CQ397" s="797"/>
      <c r="CR397" s="797"/>
      <c r="CS397" s="797"/>
      <c r="CT397" s="797"/>
      <c r="CU397" s="797"/>
    </row>
    <row r="398" spans="1:99" x14ac:dyDescent="0.25">
      <c r="A398" s="163">
        <f>((A393+A392+A391+A390)/4-A393-A388)*-1</f>
        <v>205.54567032776376</v>
      </c>
      <c r="B398" s="154">
        <f>(B393+C393)/2</f>
        <v>217.98196838589811</v>
      </c>
      <c r="C398" s="154">
        <f>(E400+A389)</f>
        <v>-1.2533947434618824</v>
      </c>
      <c r="D398" s="163">
        <f>(A400+D399+A392+D399)/2</f>
        <v>379.95907834484791</v>
      </c>
      <c r="E398" s="163">
        <f>(A393+D399+A392)/3</f>
        <v>201.49129390274939</v>
      </c>
      <c r="F398" s="191">
        <f>(O398+P397)/2</f>
        <v>1342.6094129770574</v>
      </c>
      <c r="G398" s="149"/>
      <c r="H398" s="191">
        <f>(O398+P397+N397)/3</f>
        <v>1334.1004874399152</v>
      </c>
      <c r="I398" s="191"/>
      <c r="J398" s="191"/>
      <c r="K398" s="191"/>
      <c r="L398" s="191"/>
      <c r="M398" s="191"/>
      <c r="N398" s="191">
        <f>((A398+A392)/2)*Q402/Q394</f>
        <v>1310.2154297733821</v>
      </c>
      <c r="O398" s="152">
        <f>((A399+A390)/2)*Q402/Q394</f>
        <v>1387.6325131507956</v>
      </c>
      <c r="P398" s="152">
        <f>B389*Q402/Q394</f>
        <v>1268.4128538188315</v>
      </c>
      <c r="Q398" s="162">
        <f>A389+E400</f>
        <v>-1.2533947434618824</v>
      </c>
      <c r="R398" s="171"/>
      <c r="S398" s="151"/>
      <c r="T398" s="163">
        <f>((T393+T392+T391+T390)/4-T393-T388)*-1</f>
        <v>205.5087971053463</v>
      </c>
      <c r="U398" s="154">
        <f>(U393+V393)/2</f>
        <v>217.97632895188136</v>
      </c>
      <c r="V398" s="154">
        <f>(X400+T389)</f>
        <v>-1.2532862928077009</v>
      </c>
      <c r="W398" s="163">
        <f>(T400+W399+T392+W399)/2</f>
        <v>379.89389950169232</v>
      </c>
      <c r="X398" s="163">
        <f>(T393+W399+T392)/3</f>
        <v>201.46121692132647</v>
      </c>
      <c r="Y398" s="191">
        <f>(AH398+AI397)/2</f>
        <v>1342.7203902092674</v>
      </c>
      <c r="Z398" s="149"/>
      <c r="AA398" s="191">
        <f>(AH398+AI397+AG397)/3</f>
        <v>1334.2111496800605</v>
      </c>
      <c r="AB398" s="191"/>
      <c r="AC398" s="191"/>
      <c r="AD398" s="191"/>
      <c r="AE398" s="191"/>
      <c r="AF398" s="191"/>
      <c r="AG398" s="191">
        <f>((T398+T392)/2)*AJ402/AJ394</f>
        <v>1310.1841848382333</v>
      </c>
      <c r="AH398" s="152">
        <f>((T399+T390)/2)*AJ402/AJ394</f>
        <v>1387.7294878746195</v>
      </c>
      <c r="AI398" s="152">
        <f>U389*AJ402/AJ394</f>
        <v>1268.5367535866351</v>
      </c>
      <c r="AJ398" s="162">
        <f>T389+X400</f>
        <v>-1.2532862928077009</v>
      </c>
      <c r="AK398" s="171"/>
      <c r="AL398" s="151"/>
      <c r="AM398" s="514">
        <f>((AM393+AM392+AM391+AM390)/4-AM393-AM388)*-1</f>
        <v>205.55776709318673</v>
      </c>
      <c r="AN398" s="505">
        <f>(AN393+AO393)/2</f>
        <v>217.98381847943341</v>
      </c>
      <c r="AO398" s="505">
        <f>(AQ400+AM389)</f>
        <v>-1.2534303221837035</v>
      </c>
      <c r="AP398" s="514">
        <f>(AM400+AP399+AM392+AP399)/2</f>
        <v>379.98046115666898</v>
      </c>
      <c r="AQ398" s="514">
        <f>(AM393+AP399+AM392)/3</f>
        <v>201.50116106827082</v>
      </c>
      <c r="AR398" s="542">
        <f>(BA398+BB397)/2</f>
        <v>1066.2569139510319</v>
      </c>
      <c r="AS398" s="500"/>
      <c r="AT398" s="542">
        <f>(BA398+BB397+AZ397)/3</f>
        <v>1059.4992996973776</v>
      </c>
      <c r="AU398" s="542"/>
      <c r="AV398" s="542"/>
      <c r="AW398" s="542"/>
      <c r="AX398" s="542"/>
      <c r="AY398" s="542"/>
      <c r="AZ398" s="542">
        <f>((AM398+AM392)/2)*BC402/BC394</f>
        <v>1040.567013221405</v>
      </c>
      <c r="BA398" s="503">
        <f>((AM399+AM390)/2)*BC402/BC394</f>
        <v>1102.0174191289398</v>
      </c>
      <c r="BB398" s="503">
        <f>AN389*BC402/BC394</f>
        <v>1007.3274456177371</v>
      </c>
      <c r="BC398" s="513">
        <f>AM389+AQ400</f>
        <v>-1.2534303221837035</v>
      </c>
      <c r="BD398" s="502"/>
      <c r="BE398" s="502"/>
      <c r="BF398" s="514">
        <f>((BF393+BF392+BF391+BF390)/4-BF393-BF388)*-1</f>
        <v>205.52821839425076</v>
      </c>
      <c r="BG398" s="505">
        <f>(BG393+BH393)/2</f>
        <v>217.97929926665495</v>
      </c>
      <c r="BH398" s="505">
        <f>(BJ400+BF389)</f>
        <v>-1.2533434142456485</v>
      </c>
      <c r="BI398" s="514">
        <f>(BF400+BI399+BF392+BI399)/2</f>
        <v>379.92822948590282</v>
      </c>
      <c r="BJ398" s="514">
        <f>(BF393+BI399+BF392)/3</f>
        <v>201.47705860011914</v>
      </c>
      <c r="BK398" s="542">
        <f>(BT398+BU397)/2</f>
        <v>1066.3275358260744</v>
      </c>
      <c r="BL398" s="500"/>
      <c r="BM398" s="542">
        <f>(BT398+BU397+BS397)/3</f>
        <v>1059.5697211229244</v>
      </c>
      <c r="BN398" s="542"/>
      <c r="BO398" s="542"/>
      <c r="BP398" s="542"/>
      <c r="BQ398" s="542"/>
      <c r="BR398" s="542"/>
      <c r="BS398" s="542">
        <f>((BF398+BF392)/2)*BV402/BV394</f>
        <v>1040.5471300808556</v>
      </c>
      <c r="BT398" s="503">
        <f>((BF399+BF390)/2)*BV402/BV394</f>
        <v>1102.0791303168278</v>
      </c>
      <c r="BU398" s="503">
        <f>BG389*BV402/BV394</f>
        <v>1007.4062909245209</v>
      </c>
      <c r="BV398" s="513">
        <f>BF389+BJ400</f>
        <v>-1.2533434142456485</v>
      </c>
      <c r="BW398" s="502"/>
      <c r="BX398" s="502"/>
      <c r="BY398" s="797"/>
      <c r="BZ398" s="797"/>
      <c r="CA398" s="797"/>
      <c r="CB398" s="797"/>
      <c r="CC398" s="797"/>
      <c r="CD398" s="797"/>
      <c r="CE398" s="797"/>
      <c r="CF398" s="797"/>
      <c r="CG398" s="797"/>
      <c r="CH398" s="797"/>
      <c r="CI398" s="797"/>
      <c r="CJ398" s="797"/>
      <c r="CK398" s="797"/>
      <c r="CL398" s="797"/>
      <c r="CM398" s="797"/>
      <c r="CN398" s="797"/>
      <c r="CO398" s="797"/>
      <c r="CP398" s="797"/>
      <c r="CQ398" s="797"/>
      <c r="CR398" s="797"/>
      <c r="CS398" s="797"/>
      <c r="CT398" s="797"/>
      <c r="CU398" s="797"/>
    </row>
    <row r="399" spans="1:99" x14ac:dyDescent="0.25">
      <c r="A399" s="163">
        <f>((A393+A392+A391+A390)/4-A393-A388*-1)</f>
        <v>243.91800954293805</v>
      </c>
      <c r="B399" s="154">
        <f>B390/2</f>
        <v>111.49777367987278</v>
      </c>
      <c r="C399" s="154">
        <f>(B389+C393)/2</f>
        <v>216.72857364243623</v>
      </c>
      <c r="D399" s="163">
        <f>(A398+A397+B399)/3</f>
        <v>155.0102018375463</v>
      </c>
      <c r="E399" s="163">
        <f>(A393+A392+B399)/3</f>
        <v>186.98715118352484</v>
      </c>
      <c r="F399" s="149">
        <f>E396+(C403*-1)-E396-E400</f>
        <v>1.9693368661566328</v>
      </c>
      <c r="G399" s="149"/>
      <c r="H399" s="191">
        <f>(P399+N399)/2</f>
        <v>455.80998038118116</v>
      </c>
      <c r="I399" s="149"/>
      <c r="J399" s="149"/>
      <c r="K399" s="149"/>
      <c r="L399" s="149"/>
      <c r="M399" s="149"/>
      <c r="N399" s="191">
        <f>((N398+N397)/2/Q393)</f>
        <v>0.9956569122555361</v>
      </c>
      <c r="O399" s="152">
        <f>((A391+D397)/2)*Q402/Q394</f>
        <v>1253.8261243265877</v>
      </c>
      <c r="P399" s="152">
        <f>((B399+E398)/2)*Q402/Q394</f>
        <v>910.6243038501068</v>
      </c>
      <c r="Q399" s="162">
        <f>(Q398*Q396/10)</f>
        <v>-9.7238221562904847</v>
      </c>
      <c r="R399" s="171"/>
      <c r="S399" s="151"/>
      <c r="T399" s="163">
        <f>((T393+T392+T391+T390)/4-T393-T388*-1)</f>
        <v>243.89935603042093</v>
      </c>
      <c r="U399" s="154">
        <f>U390/2</f>
        <v>111.49473706155607</v>
      </c>
      <c r="V399" s="154">
        <f>(U389+V393)/2</f>
        <v>216.72304265907366</v>
      </c>
      <c r="W399" s="163">
        <f>(T398+T397+U399)/3</f>
        <v>154.97549762821222</v>
      </c>
      <c r="X399" s="163">
        <f>(T393+T392+U399)/3</f>
        <v>186.96763006577444</v>
      </c>
      <c r="Y399" s="149">
        <f>X396+(V403*-1)-X396-X400</f>
        <v>1.9658687390568019</v>
      </c>
      <c r="Z399" s="149"/>
      <c r="AA399" s="191">
        <f>(AI399+AG399)/2</f>
        <v>455.81807447381101</v>
      </c>
      <c r="AB399" s="149"/>
      <c r="AC399" s="149"/>
      <c r="AD399" s="149"/>
      <c r="AE399" s="149"/>
      <c r="AF399" s="149"/>
      <c r="AG399" s="191">
        <f>((AG398+AG397)/2/AJ393)</f>
        <v>0.99568676997957228</v>
      </c>
      <c r="AH399" s="152">
        <f>((T391+W397)/2)*AJ402/AJ394</f>
        <v>1253.949484107995</v>
      </c>
      <c r="AI399" s="152">
        <f>((U399+X398)/2)*AJ402/AJ394</f>
        <v>910.64046217764246</v>
      </c>
      <c r="AJ399" s="162">
        <f>(AJ398*AJ396/10)</f>
        <v>-9.3591725440772588</v>
      </c>
      <c r="AK399" s="171"/>
      <c r="AL399" s="151"/>
      <c r="AM399" s="514">
        <f>((AM393+AM392+AM391+AM390)/4-AM393-AM388*-1)</f>
        <v>243.92412908309313</v>
      </c>
      <c r="AN399" s="505">
        <f>AN390/2</f>
        <v>111.4987698840841</v>
      </c>
      <c r="AO399" s="505">
        <f>(AN389+AO393)/2</f>
        <v>216.73038815724971</v>
      </c>
      <c r="AP399" s="514">
        <f>(AM398+AM397+AN399)/3</f>
        <v>155.02158702853262</v>
      </c>
      <c r="AQ399" s="514">
        <f>(AM393+AM392+AN399)/3</f>
        <v>186.99355535345467</v>
      </c>
      <c r="AR399" s="500">
        <f>AQ396+(AO403*-1)-AQ396-AQ400</f>
        <v>1.9704556271105815</v>
      </c>
      <c r="AS399" s="500"/>
      <c r="AT399" s="542">
        <f>(BB399+AZ399)/2</f>
        <v>362.09719741264752</v>
      </c>
      <c r="AU399" s="500"/>
      <c r="AV399" s="500"/>
      <c r="AW399" s="500"/>
      <c r="AX399" s="500"/>
      <c r="AY399" s="500"/>
      <c r="AZ399" s="542">
        <f>((AZ398+AZ397)/2/BC393)</f>
        <v>0.99066547482606238</v>
      </c>
      <c r="BA399" s="503">
        <f>((AM391+AP397)/2)*BC402/BC394</f>
        <v>995.74296404004394</v>
      </c>
      <c r="BB399" s="503">
        <f>((AN399+AQ398)/2)*BC402/BC394</f>
        <v>723.20372935046896</v>
      </c>
      <c r="BC399" s="513">
        <f>(BC398*BC396/10)</f>
        <v>-9.8450696072718245</v>
      </c>
      <c r="BD399" s="502"/>
      <c r="BE399" s="502"/>
      <c r="BF399" s="514">
        <f>((BF393+BF392+BF391+BF390)/4-BF393-BF388*-1)</f>
        <v>243.9091809177491</v>
      </c>
      <c r="BG399" s="505">
        <f>BG390/2</f>
        <v>111.49633646181877</v>
      </c>
      <c r="BH399" s="505">
        <f>(BG389+BH393)/2</f>
        <v>216.7259558524093</v>
      </c>
      <c r="BI399" s="514">
        <f>(BF398+BF397+BG399)/3</f>
        <v>154.99377648835761</v>
      </c>
      <c r="BJ399" s="514">
        <f>(BF393+BF392+BG399)/3</f>
        <v>186.97791192460622</v>
      </c>
      <c r="BK399" s="500">
        <f>BJ396+(BH403*-1)-BJ396-BJ400</f>
        <v>1.9677064455999282</v>
      </c>
      <c r="BL399" s="500"/>
      <c r="BM399" s="542">
        <f>(BU399+BS399)/2</f>
        <v>362.1023506009488</v>
      </c>
      <c r="BN399" s="500"/>
      <c r="BO399" s="500"/>
      <c r="BP399" s="500"/>
      <c r="BQ399" s="500"/>
      <c r="BR399" s="500"/>
      <c r="BS399" s="542">
        <f>((BS398+BS397)/2/BV393)</f>
        <v>0.99068927936058171</v>
      </c>
      <c r="BT399" s="503">
        <f>((BF391+BI397)/2)*BV402/BV394</f>
        <v>995.82146571912108</v>
      </c>
      <c r="BU399" s="503">
        <f>((BG399+BJ398)/2)*BV402/BV394</f>
        <v>723.214011922537</v>
      </c>
      <c r="BV399" s="513">
        <f>(BV398*BV396/10)</f>
        <v>-9.5503086194605462</v>
      </c>
      <c r="BW399" s="502"/>
      <c r="BX399" s="502"/>
      <c r="BY399" s="797"/>
      <c r="BZ399" s="797"/>
      <c r="CA399" s="797"/>
      <c r="CB399" s="797"/>
      <c r="CC399" s="797"/>
      <c r="CD399" s="797"/>
      <c r="CE399" s="797"/>
      <c r="CF399" s="797"/>
      <c r="CG399" s="797"/>
      <c r="CH399" s="797"/>
      <c r="CI399" s="797"/>
      <c r="CJ399" s="797"/>
      <c r="CK399" s="797"/>
      <c r="CL399" s="797"/>
      <c r="CM399" s="797"/>
      <c r="CN399" s="797"/>
      <c r="CO399" s="797"/>
      <c r="CP399" s="797"/>
      <c r="CQ399" s="797"/>
      <c r="CR399" s="797"/>
      <c r="CS399" s="797"/>
      <c r="CT399" s="797"/>
      <c r="CU399" s="797"/>
    </row>
    <row r="400" spans="1:99" x14ac:dyDescent="0.25">
      <c r="A400" s="163">
        <f>(A393+A398)/2</f>
        <v>205.11159718386244</v>
      </c>
      <c r="B400" s="154">
        <f>(A390+B392)/2</f>
        <v>230.51591582051674</v>
      </c>
      <c r="C400" s="154">
        <f>(A389*C392)</f>
        <v>1.1219129960583665E-3</v>
      </c>
      <c r="D400" s="154">
        <f>(A390+B400)/2</f>
        <v>231.76931056397859</v>
      </c>
      <c r="E400" s="154">
        <f>(D400-A388)-(A388-A391)</f>
        <v>-4.7259798946725482</v>
      </c>
      <c r="F400" s="191">
        <f>(N400+H400)/2</f>
        <v>1361.6163334088233</v>
      </c>
      <c r="G400" s="149"/>
      <c r="H400" s="314">
        <f>A399*Q402/Q394</f>
        <v>1419.3317955292962</v>
      </c>
      <c r="I400" s="149"/>
      <c r="J400" s="149"/>
      <c r="K400" s="149"/>
      <c r="L400" s="149"/>
      <c r="M400" s="149"/>
      <c r="N400" s="191">
        <f>(N398+P397)/2</f>
        <v>1303.9008712883506</v>
      </c>
      <c r="O400" s="152">
        <f>((E397+A397)/2)*Q402/Q394</f>
        <v>1740.7758546632137</v>
      </c>
      <c r="P400" s="152">
        <f>((E398+E400/10)/2)*Q402/Q394</f>
        <v>584.8527280543658</v>
      </c>
      <c r="Q400" s="163">
        <f>(Q399+C403)</f>
        <v>-6.9671791277745694</v>
      </c>
      <c r="R400" s="171"/>
      <c r="S400" s="151"/>
      <c r="T400" s="163">
        <f>(T393+T398)/2</f>
        <v>205.08014649415344</v>
      </c>
      <c r="U400" s="154">
        <f>(T390+U392)/2</f>
        <v>230.50919187995828</v>
      </c>
      <c r="V400" s="154">
        <f>(T389*V392)</f>
        <v>1.1415182954223847E-3</v>
      </c>
      <c r="W400" s="154">
        <f>(T390+U400)/2</f>
        <v>231.76247817276595</v>
      </c>
      <c r="X400" s="154">
        <f>(W400-T388)-(T388-T391)</f>
        <v>-4.6824911823507023</v>
      </c>
      <c r="Y400" s="191">
        <f>(AG400+AA400)/2</f>
        <v>1361.6731719909189</v>
      </c>
      <c r="Z400" s="149"/>
      <c r="AA400" s="314">
        <f>T399*AJ402/AJ394</f>
        <v>1419.3986052907633</v>
      </c>
      <c r="AB400" s="149"/>
      <c r="AC400" s="149"/>
      <c r="AD400" s="149"/>
      <c r="AE400" s="149"/>
      <c r="AF400" s="149"/>
      <c r="AG400" s="191">
        <f>(AG398+AI397)/2</f>
        <v>1303.9477386910744</v>
      </c>
      <c r="AH400" s="152">
        <f>((X397+T397)/2)*AJ402/AJ394</f>
        <v>1740.610990205131</v>
      </c>
      <c r="AI400" s="152">
        <f>((X398+X400/10)/2)*AJ402/AJ394</f>
        <v>584.85012592115231</v>
      </c>
      <c r="AJ400" s="163">
        <f>(AJ399+V403)</f>
        <v>-6.6425501007833585</v>
      </c>
      <c r="AK400" s="171"/>
      <c r="AL400" s="151"/>
      <c r="AM400" s="514">
        <f>(AM393+AM398)/2</f>
        <v>205.12191501319379</v>
      </c>
      <c r="AN400" s="505">
        <f>(AM390+AN392)/2</f>
        <v>230.51812170127036</v>
      </c>
      <c r="AO400" s="505">
        <f>(AM389*AO392)</f>
        <v>1.1155957676632496E-3</v>
      </c>
      <c r="AP400" s="505">
        <f>(AM390+AN400)/2</f>
        <v>231.77155202345403</v>
      </c>
      <c r="AQ400" s="505">
        <f>(AP400-AM388)-(AM388-AM391)</f>
        <v>-4.7402469621271734</v>
      </c>
      <c r="AR400" s="542">
        <f>(AZ400+AT400)/2</f>
        <v>1081.3661070856233</v>
      </c>
      <c r="AS400" s="500"/>
      <c r="AT400" s="650">
        <f>AM399*BC402/BC394</f>
        <v>1127.2005031739825</v>
      </c>
      <c r="AU400" s="500"/>
      <c r="AV400" s="500"/>
      <c r="AW400" s="500"/>
      <c r="AX400" s="500"/>
      <c r="AY400" s="500"/>
      <c r="AZ400" s="542">
        <f>(AZ398+BB397)/2</f>
        <v>1035.5317109972643</v>
      </c>
      <c r="BA400" s="503">
        <f>((AQ397+AM397)/2)*BC402/BC394</f>
        <v>1382.5482377028118</v>
      </c>
      <c r="BB400" s="503">
        <f>((AQ398+AQ400/10)/2)*BC402/BC394</f>
        <v>464.48436676188311</v>
      </c>
      <c r="BC400" s="514">
        <f>(BC399+AO403)</f>
        <v>-7.0752782722552325</v>
      </c>
      <c r="BD400" s="502"/>
      <c r="BE400" s="502"/>
      <c r="BF400" s="514">
        <f>(BF393+BF398)/2</f>
        <v>205.09671171116017</v>
      </c>
      <c r="BG400" s="505">
        <f>(BF390+BG392)/2</f>
        <v>230.51273340911143</v>
      </c>
      <c r="BH400" s="505">
        <f>(BF389*BH392)</f>
        <v>1.131125851237341E-3</v>
      </c>
      <c r="BI400" s="505">
        <f>(BF390+BG400)/2</f>
        <v>231.76607682335708</v>
      </c>
      <c r="BJ400" s="505">
        <f>(BI400-BF388)-(BF388-BF391)</f>
        <v>-4.7053968789703902</v>
      </c>
      <c r="BK400" s="542">
        <f>(BS400+BM400)/2</f>
        <v>1081.4022770924116</v>
      </c>
      <c r="BL400" s="500"/>
      <c r="BM400" s="650">
        <f>BF399*BV402/BV394</f>
        <v>1127.2430184767347</v>
      </c>
      <c r="BN400" s="500"/>
      <c r="BO400" s="500"/>
      <c r="BP400" s="500"/>
      <c r="BQ400" s="500"/>
      <c r="BR400" s="500"/>
      <c r="BS400" s="542">
        <f>(BS398+BU397)/2</f>
        <v>1035.5615357080883</v>
      </c>
      <c r="BT400" s="503">
        <f>((BJ397+BF397)/2)*BV402/BV394</f>
        <v>1382.4433239567581</v>
      </c>
      <c r="BU400" s="503">
        <f>((BJ398+BJ400/10)/2)*BV402/BV394</f>
        <v>464.48271085892895</v>
      </c>
      <c r="BV400" s="514">
        <f>(BV399+BH403)</f>
        <v>-6.8126181860900843</v>
      </c>
      <c r="BW400" s="502"/>
      <c r="BX400" s="502"/>
      <c r="BY400" s="797"/>
      <c r="BZ400" s="797"/>
      <c r="CA400" s="797"/>
      <c r="CB400" s="797"/>
      <c r="CC400" s="797"/>
      <c r="CD400" s="797"/>
      <c r="CE400" s="797"/>
      <c r="CF400" s="797"/>
      <c r="CG400" s="797"/>
      <c r="CH400" s="797"/>
      <c r="CI400" s="797"/>
      <c r="CJ400" s="797"/>
      <c r="CK400" s="797"/>
      <c r="CL400" s="797"/>
      <c r="CM400" s="797"/>
      <c r="CN400" s="797"/>
      <c r="CO400" s="797"/>
      <c r="CP400" s="797"/>
      <c r="CQ400" s="797"/>
      <c r="CR400" s="797"/>
      <c r="CS400" s="797"/>
      <c r="CT400" s="797"/>
      <c r="CU400" s="797"/>
    </row>
    <row r="401" spans="1:99" x14ac:dyDescent="0.25">
      <c r="A401" s="163">
        <f>(A389*-1)+A396</f>
        <v>-80.217263581559223</v>
      </c>
      <c r="B401" s="163">
        <f>(A402*-1)+A401</f>
        <v>-6.9451703024213316</v>
      </c>
      <c r="C401" s="163">
        <f>(B401/2)+A389</f>
        <v>0</v>
      </c>
      <c r="D401" s="154"/>
      <c r="E401" s="163">
        <f>(C401*A389)+D394</f>
        <v>7.7525873442222775</v>
      </c>
      <c r="F401" s="191">
        <f>A397*Q402/Q402</f>
        <v>147.98716150500235</v>
      </c>
      <c r="G401" s="191">
        <f>(E401+F401)</f>
        <v>155.73974884922461</v>
      </c>
      <c r="H401" s="149">
        <f>(O402+H399)/2</f>
        <v>1538.1204199639726</v>
      </c>
      <c r="I401" s="149"/>
      <c r="J401" s="149"/>
      <c r="K401" s="149"/>
      <c r="L401" s="149"/>
      <c r="M401" s="149"/>
      <c r="N401" s="191">
        <f>(O398+H398+O398)/3</f>
        <v>1369.7885045805021</v>
      </c>
      <c r="O401" s="152">
        <f>((B392+E400)/2)*Q402/Q394</f>
        <v>649.62990994479253</v>
      </c>
      <c r="P401" s="152">
        <f>D397*Q402/Q394</f>
        <v>1268.4128538188315</v>
      </c>
      <c r="Q401" s="248">
        <f>((Q400*Q399*C403*-1)*Q402*Q391*Q392)*0.326</f>
        <v>-2473.5678449373731</v>
      </c>
      <c r="R401" s="171"/>
      <c r="S401" s="151"/>
      <c r="T401" s="163">
        <f>(T389*-1)+T396</f>
        <v>-80.210322739692288</v>
      </c>
      <c r="U401" s="163">
        <f>(T402*-1)+T401</f>
        <v>-6.8584097790860028</v>
      </c>
      <c r="V401" s="163">
        <f>(U401/2)+T389</f>
        <v>0</v>
      </c>
      <c r="W401" s="154"/>
      <c r="X401" s="163">
        <f>(V401*T389)+W394</f>
        <v>7.7303766502484237</v>
      </c>
      <c r="Y401" s="191">
        <f>T397*AJ402/AJ402</f>
        <v>147.92295871773433</v>
      </c>
      <c r="Z401" s="191">
        <f>(X401+Y401)</f>
        <v>155.65333536798275</v>
      </c>
      <c r="AA401" s="149">
        <f>(AH402+AA399)/2</f>
        <v>1538.0932220751388</v>
      </c>
      <c r="AB401" s="149"/>
      <c r="AC401" s="149"/>
      <c r="AD401" s="149"/>
      <c r="AE401" s="149"/>
      <c r="AF401" s="149"/>
      <c r="AG401" s="191">
        <f>(AH398+AA398+AH398)/3</f>
        <v>1369.8900418097664</v>
      </c>
      <c r="AH401" s="152">
        <f>((U392+X400)/2)*AJ402/AJ394</f>
        <v>649.81778454548305</v>
      </c>
      <c r="AI401" s="152">
        <f>W397*AJ402/AJ394</f>
        <v>1268.5367535866351</v>
      </c>
      <c r="AJ401" s="248">
        <f>((AJ400*AJ399*V403*-1)*AJ402*AJ391*AJ392)*0.326</f>
        <v>-1220.3101897812069</v>
      </c>
      <c r="AK401" s="171"/>
      <c r="AL401" s="151"/>
      <c r="AM401" s="514">
        <f>(AM389*-1)+AM396</f>
        <v>-80.219540619756344</v>
      </c>
      <c r="AN401" s="514">
        <f>(AM402*-1)+AM401</f>
        <v>-6.9736332798869398</v>
      </c>
      <c r="AO401" s="514">
        <f>(AN401/2)+AM389</f>
        <v>0</v>
      </c>
      <c r="AP401" s="505"/>
      <c r="AQ401" s="514">
        <f>(AO401*AM389)+AP394</f>
        <v>7.7598738664534608</v>
      </c>
      <c r="AR401" s="542">
        <f>AM397*BC402/BC402</f>
        <v>148.00822410832706</v>
      </c>
      <c r="AS401" s="542">
        <f>(AQ401+AR401)</f>
        <v>155.76809797478052</v>
      </c>
      <c r="AT401" s="500">
        <f>(BA402+AT399)/2</f>
        <v>1221.6156119277287</v>
      </c>
      <c r="AU401" s="500"/>
      <c r="AV401" s="500"/>
      <c r="AW401" s="500"/>
      <c r="AX401" s="500"/>
      <c r="AY401" s="500"/>
      <c r="AZ401" s="542">
        <f>(BA398+AT398+BA398)/3</f>
        <v>1087.8447126517524</v>
      </c>
      <c r="BA401" s="503">
        <f>((AN392+AQ400)/2)*BC402/BC394</f>
        <v>515.88008201120692</v>
      </c>
      <c r="BB401" s="503">
        <f>AP397*BC402/BC394</f>
        <v>1007.3274456177371</v>
      </c>
      <c r="BC401" s="590">
        <f>((BC400*BC399*AO403*-1)*BC402*BC391*BC392)*0.326</f>
        <v>-2054.6340619241432</v>
      </c>
      <c r="BD401" s="502"/>
      <c r="BE401" s="502"/>
      <c r="BF401" s="514">
        <f>(BF389*-1)+BF396</f>
        <v>-80.213978511721393</v>
      </c>
      <c r="BG401" s="514">
        <f>(BF402*-1)+BF401</f>
        <v>-6.9041069294494832</v>
      </c>
      <c r="BH401" s="514">
        <f>(BG401/2)+BF389</f>
        <v>0</v>
      </c>
      <c r="BI401" s="505"/>
      <c r="BJ401" s="514">
        <f>(BH401*BF389)+BI394</f>
        <v>7.7420751207414753</v>
      </c>
      <c r="BK401" s="542">
        <f>BF397*BV402/BV402</f>
        <v>147.95677460900328</v>
      </c>
      <c r="BL401" s="542">
        <f>(BJ401+BK401)</f>
        <v>155.69884972974475</v>
      </c>
      <c r="BM401" s="500">
        <f>(BT402+BM399)/2</f>
        <v>1221.59830538133</v>
      </c>
      <c r="BN401" s="500"/>
      <c r="BO401" s="500"/>
      <c r="BP401" s="500"/>
      <c r="BQ401" s="500"/>
      <c r="BR401" s="500"/>
      <c r="BS401" s="542">
        <f>(BT398+BM398+BT398)/3</f>
        <v>1087.9093272521934</v>
      </c>
      <c r="BT401" s="503">
        <f>((BG392+BJ400)/2)*BV402/BV394</f>
        <v>515.9996385752828</v>
      </c>
      <c r="BU401" s="503">
        <f>BI397*BV402/BV394</f>
        <v>1007.4062909245209</v>
      </c>
      <c r="BV401" s="590">
        <f>((BV400*BV399*BH403*-1)*BV402*BV391*BV392)*0.326</f>
        <v>-1042.8943132883944</v>
      </c>
      <c r="BW401" s="502"/>
      <c r="BX401" s="502"/>
      <c r="BY401" s="797"/>
      <c r="BZ401" s="797"/>
      <c r="CA401" s="797"/>
      <c r="CB401" s="797"/>
      <c r="CC401" s="797"/>
      <c r="CD401" s="797"/>
      <c r="CE401" s="797"/>
      <c r="CF401" s="797"/>
      <c r="CG401" s="797"/>
      <c r="CH401" s="797"/>
      <c r="CI401" s="797"/>
      <c r="CJ401" s="797"/>
      <c r="CK401" s="797"/>
      <c r="CL401" s="797"/>
      <c r="CM401" s="797"/>
      <c r="CN401" s="797"/>
      <c r="CO401" s="797"/>
      <c r="CP401" s="797"/>
      <c r="CQ401" s="797"/>
      <c r="CR401" s="797"/>
      <c r="CS401" s="797"/>
      <c r="CT401" s="797"/>
      <c r="CU401" s="797"/>
    </row>
    <row r="402" spans="1:99" x14ac:dyDescent="0.25">
      <c r="A402" s="163">
        <f>A389+A396</f>
        <v>-73.272093279137891</v>
      </c>
      <c r="B402" s="163">
        <f>(A403+(A401*-1)+A402)</f>
        <v>-146.54418655827578</v>
      </c>
      <c r="C402" s="154">
        <f>(B402/10)</f>
        <v>-14.654418655827579</v>
      </c>
      <c r="D402" s="154"/>
      <c r="E402" s="154">
        <f>((D398+B399)/2)*Q402</f>
        <v>1286.8797670267311</v>
      </c>
      <c r="F402" s="149">
        <f>((E397+B399)/2)*Q402/Q394</f>
        <v>1634.6120079742118</v>
      </c>
      <c r="G402" s="149"/>
      <c r="H402" s="149">
        <f>(Q403/2)</f>
        <v>588.46032287071637</v>
      </c>
      <c r="I402" s="149"/>
      <c r="J402" s="149"/>
      <c r="K402" s="149"/>
      <c r="L402" s="149"/>
      <c r="M402" s="149"/>
      <c r="N402" s="191">
        <f>(Q403/2)/Q394</f>
        <v>653.84480318968485</v>
      </c>
      <c r="O402" s="152">
        <f>E397*Q402/Q394</f>
        <v>2620.4308595467642</v>
      </c>
      <c r="P402" s="152">
        <f>((B389+A392)/2)*Q402/Q394</f>
        <v>1346.3981480680766</v>
      </c>
      <c r="Q402" s="322">
        <f>ROUND(O395,N403)</f>
        <v>5.2370000000000001</v>
      </c>
      <c r="R402" s="171"/>
      <c r="S402" s="151"/>
      <c r="T402" s="163">
        <f>T389+T396</f>
        <v>-73.351912960606285</v>
      </c>
      <c r="U402" s="163">
        <f>(T403+(T401*-1)+T402)</f>
        <v>-146.70382592121257</v>
      </c>
      <c r="V402" s="154">
        <f>(U402/10)</f>
        <v>-14.670382592121257</v>
      </c>
      <c r="W402" s="154"/>
      <c r="X402" s="154">
        <f>((W398+U399)/2)*AJ402</f>
        <v>729.22073665986056</v>
      </c>
      <c r="Y402" s="149">
        <f>((X397+U399)/2)*AJ402/AJ394</f>
        <v>1634.612007974212</v>
      </c>
      <c r="Z402" s="149"/>
      <c r="AA402" s="149">
        <f>(AJ403/2)</f>
        <v>333.46084962673928</v>
      </c>
      <c r="AB402" s="149"/>
      <c r="AC402" s="149"/>
      <c r="AD402" s="149"/>
      <c r="AE402" s="149"/>
      <c r="AF402" s="149"/>
      <c r="AG402" s="191">
        <f>(AJ403/2)/AJ394</f>
        <v>653.84480318968485</v>
      </c>
      <c r="AH402" s="152">
        <f>X397*AJ402/AJ394</f>
        <v>2620.3683696764665</v>
      </c>
      <c r="AI402" s="152">
        <f>((U389+T392)/2)*AJ402/AJ394</f>
        <v>1346.4622578975627</v>
      </c>
      <c r="AJ402" s="322">
        <f>ROUND(AH395,AG403)</f>
        <v>2.968</v>
      </c>
      <c r="AK402" s="171"/>
      <c r="AL402" s="151"/>
      <c r="AM402" s="514">
        <f>AM389+AM396</f>
        <v>-73.245907339869404</v>
      </c>
      <c r="AN402" s="514">
        <f>(AM403+(AM401*-1)+AM402)</f>
        <v>-146.49181467973881</v>
      </c>
      <c r="AO402" s="505">
        <f>(AN402/10)</f>
        <v>-14.649181467973881</v>
      </c>
      <c r="AP402" s="505"/>
      <c r="AQ402" s="505">
        <f>((AP398+AN399)/2)*BC402</f>
        <v>1022.0310609492459</v>
      </c>
      <c r="AR402" s="500">
        <f>((AQ397+AN399)/2)*BC402/BC394</f>
        <v>1298.191115414686</v>
      </c>
      <c r="AS402" s="500"/>
      <c r="AT402" s="500">
        <f>(BC403/2)</f>
        <v>467.34880154928697</v>
      </c>
      <c r="AU402" s="500"/>
      <c r="AV402" s="500"/>
      <c r="AW402" s="500"/>
      <c r="AX402" s="500"/>
      <c r="AY402" s="500"/>
      <c r="AZ402" s="542">
        <f>(BC403/2)/BC394</f>
        <v>519.2764461658744</v>
      </c>
      <c r="BA402" s="503">
        <f>AQ397*BC402/BC394</f>
        <v>2081.13402644281</v>
      </c>
      <c r="BB402" s="503">
        <f>((AN389+AM392)/2)*BC402/BC394</f>
        <v>1069.2780952855162</v>
      </c>
      <c r="BC402" s="656">
        <f>ROUND(BA395,AZ403)</f>
        <v>4.1589999999999998</v>
      </c>
      <c r="BD402" s="502"/>
      <c r="BE402" s="502"/>
      <c r="BF402" s="514">
        <f>BF389+BF396</f>
        <v>-73.30987158227191</v>
      </c>
      <c r="BG402" s="514">
        <f>(BF403+(BF401*-1)+BF402)</f>
        <v>-146.61974316454382</v>
      </c>
      <c r="BH402" s="505">
        <f>(BG402/10)</f>
        <v>-14.661974316454382</v>
      </c>
      <c r="BI402" s="505"/>
      <c r="BJ402" s="505">
        <f>((BI398+BG399)/2)*BV402</f>
        <v>579.14385096938997</v>
      </c>
      <c r="BK402" s="500">
        <f>((BJ397+BG399)/2)*BV402/BV394</f>
        <v>1298.1911154146858</v>
      </c>
      <c r="BL402" s="500"/>
      <c r="BM402" s="500">
        <f>(BV403/2)</f>
        <v>264.83098754459593</v>
      </c>
      <c r="BN402" s="500"/>
      <c r="BO402" s="500"/>
      <c r="BP402" s="500"/>
      <c r="BQ402" s="500"/>
      <c r="BR402" s="500"/>
      <c r="BS402" s="542">
        <f>(BV403/2)/BV394</f>
        <v>519.2764461658744</v>
      </c>
      <c r="BT402" s="503">
        <f>BJ397*BV402/BV394</f>
        <v>2081.0942601617112</v>
      </c>
      <c r="BU402" s="503">
        <f>((BG389+BF392)/2)*BV402/BV394</f>
        <v>1069.3188924497347</v>
      </c>
      <c r="BV402" s="656">
        <f>ROUND(BT395,BS403)</f>
        <v>2.3570000000000002</v>
      </c>
      <c r="BW402" s="502"/>
      <c r="BX402" s="502"/>
      <c r="BY402" s="797"/>
      <c r="BZ402" s="797"/>
      <c r="CA402" s="797"/>
      <c r="CB402" s="797"/>
      <c r="CC402" s="797"/>
      <c r="CD402" s="797"/>
      <c r="CE402" s="797"/>
      <c r="CF402" s="797"/>
      <c r="CG402" s="797"/>
      <c r="CH402" s="797"/>
      <c r="CI402" s="797"/>
      <c r="CJ402" s="797"/>
      <c r="CK402" s="797"/>
      <c r="CL402" s="797"/>
      <c r="CM402" s="797"/>
      <c r="CN402" s="797"/>
      <c r="CO402" s="797"/>
      <c r="CP402" s="797"/>
      <c r="CQ402" s="797"/>
      <c r="CR402" s="797"/>
      <c r="CS402" s="797"/>
      <c r="CT402" s="797"/>
      <c r="CU402" s="797"/>
    </row>
    <row r="403" spans="1:99" x14ac:dyDescent="0.25">
      <c r="A403" s="191">
        <f>(A401+A402)</f>
        <v>-153.48935686069711</v>
      </c>
      <c r="B403" s="149"/>
      <c r="C403" s="162">
        <f>INT(C396)-C396+N403</f>
        <v>2.7566430285159154</v>
      </c>
      <c r="D403" s="149"/>
      <c r="E403" s="191" t="s">
        <v>53</v>
      </c>
      <c r="F403" s="149">
        <f>((O403+B399+E397)/3)*Q402/Q394</f>
        <v>4023.5196456829462</v>
      </c>
      <c r="G403" s="149"/>
      <c r="H403" s="149">
        <f>ROUND(H402,2)</f>
        <v>588.46</v>
      </c>
      <c r="I403" s="149"/>
      <c r="J403" s="149"/>
      <c r="K403" s="149"/>
      <c r="L403" s="149"/>
      <c r="M403" s="149"/>
      <c r="N403" s="149">
        <v>3</v>
      </c>
      <c r="O403" s="152">
        <f>((B389+B399+E397)/3)*Q402/Q394</f>
        <v>1512.5456232557519</v>
      </c>
      <c r="P403" s="191">
        <f>(Q403/Q402)</f>
        <v>224.73183993535091</v>
      </c>
      <c r="Q403" s="152">
        <f>P389*Q394</f>
        <v>1176.9206457414327</v>
      </c>
      <c r="R403" s="171"/>
      <c r="S403" s="151"/>
      <c r="T403" s="191">
        <f>(T401+T402)</f>
        <v>-153.56223570029857</v>
      </c>
      <c r="U403" s="149"/>
      <c r="V403" s="162">
        <f>INT(V396)-V396+AG403</f>
        <v>2.7166224432939003</v>
      </c>
      <c r="W403" s="149"/>
      <c r="X403" s="191" t="s">
        <v>53</v>
      </c>
      <c r="Y403" s="149">
        <f>((AH403+U399+X397)/3)*AJ402/AJ394</f>
        <v>4023.9622458346721</v>
      </c>
      <c r="Z403" s="149"/>
      <c r="AA403" s="149">
        <f>ROUND(AA402,2)</f>
        <v>333.46</v>
      </c>
      <c r="AB403" s="149"/>
      <c r="AC403" s="149"/>
      <c r="AD403" s="149"/>
      <c r="AE403" s="149"/>
      <c r="AF403" s="149"/>
      <c r="AG403" s="149">
        <v>3</v>
      </c>
      <c r="AH403" s="152">
        <f>((U389+U399+X397)/3)*AJ402/AJ394</f>
        <v>1512.5869231783529</v>
      </c>
      <c r="AI403" s="191">
        <f>(AJ403/AJ402)</f>
        <v>224.70407656788362</v>
      </c>
      <c r="AJ403" s="152">
        <f>AI389*AJ394</f>
        <v>666.92169925347855</v>
      </c>
      <c r="AK403" s="171"/>
      <c r="AL403" s="151"/>
      <c r="AM403" s="542">
        <f>(AM401+AM402)</f>
        <v>-153.46544795962575</v>
      </c>
      <c r="AN403" s="500"/>
      <c r="AO403" s="513">
        <f>INT(AO396)-AO396+AZ403</f>
        <v>2.7697913350165919</v>
      </c>
      <c r="AP403" s="500"/>
      <c r="AQ403" s="542" t="s">
        <v>53</v>
      </c>
      <c r="AR403" s="500">
        <f>((BA403+AN399+AQ397)/3)*BC402/BC394</f>
        <v>2715.8099466151643</v>
      </c>
      <c r="AS403" s="500"/>
      <c r="AT403" s="500">
        <f>ROUND(AT402,2)</f>
        <v>467.35</v>
      </c>
      <c r="AU403" s="500"/>
      <c r="AV403" s="500"/>
      <c r="AW403" s="500"/>
      <c r="AX403" s="500"/>
      <c r="AY403" s="500"/>
      <c r="AZ403" s="500">
        <v>3</v>
      </c>
      <c r="BA403" s="503">
        <f>((AN389+AN399+AQ397)/3)*BC402/BC394</f>
        <v>1201.2365588157031</v>
      </c>
      <c r="BB403" s="542">
        <f>(BC403/BC402)</f>
        <v>224.74094808813993</v>
      </c>
      <c r="BC403" s="503">
        <f>BB389*BC394</f>
        <v>934.69760309857395</v>
      </c>
      <c r="BD403" s="502"/>
      <c r="BE403" s="502"/>
      <c r="BF403" s="542">
        <f>(BF401+BF402)</f>
        <v>-153.5238500939933</v>
      </c>
      <c r="BG403" s="500"/>
      <c r="BH403" s="513">
        <f>INT(BH396)-BH396+BS403</f>
        <v>2.7376904333704619</v>
      </c>
      <c r="BI403" s="500"/>
      <c r="BJ403" s="542" t="s">
        <v>53</v>
      </c>
      <c r="BK403" s="500">
        <f>((BT403+BG399+BJ397)/3)*BV402/BV394</f>
        <v>2716.0336293993169</v>
      </c>
      <c r="BL403" s="500"/>
      <c r="BM403" s="500">
        <f>ROUND(BM402,2)</f>
        <v>264.83</v>
      </c>
      <c r="BN403" s="500"/>
      <c r="BO403" s="500"/>
      <c r="BP403" s="500"/>
      <c r="BQ403" s="500"/>
      <c r="BR403" s="500"/>
      <c r="BS403" s="500">
        <v>3</v>
      </c>
      <c r="BT403" s="503">
        <f>((BG389+BG399+BJ397)/3)*BV402/BV394</f>
        <v>1201.262840584631</v>
      </c>
      <c r="BU403" s="542">
        <f>(BV403/BV402)</f>
        <v>224.71869965599993</v>
      </c>
      <c r="BV403" s="503">
        <f>BU389*BV394</f>
        <v>529.66197508919186</v>
      </c>
      <c r="BW403" s="502"/>
      <c r="BX403" s="502"/>
      <c r="BY403" s="797"/>
      <c r="BZ403" s="797"/>
      <c r="CA403" s="797"/>
      <c r="CB403" s="797"/>
      <c r="CC403" s="797"/>
      <c r="CD403" s="797"/>
      <c r="CE403" s="797"/>
      <c r="CF403" s="797"/>
      <c r="CG403" s="797"/>
      <c r="CH403" s="797"/>
      <c r="CI403" s="797"/>
      <c r="CJ403" s="797"/>
      <c r="CK403" s="797"/>
      <c r="CL403" s="797"/>
      <c r="CM403" s="797"/>
      <c r="CN403" s="797"/>
      <c r="CO403" s="797"/>
      <c r="CP403" s="797"/>
      <c r="CQ403" s="797"/>
      <c r="CR403" s="797"/>
      <c r="CS403" s="797"/>
      <c r="CT403" s="797"/>
      <c r="CU403" s="797"/>
    </row>
    <row r="404" spans="1:99" x14ac:dyDescent="0.25">
      <c r="A404" s="171"/>
      <c r="B404" s="171"/>
      <c r="C404" s="171"/>
      <c r="D404" s="171"/>
      <c r="E404" s="171"/>
      <c r="F404" s="171"/>
      <c r="G404" s="171"/>
      <c r="H404" s="171"/>
      <c r="I404" s="171"/>
      <c r="J404" s="171"/>
      <c r="K404" s="171"/>
      <c r="L404" s="171"/>
      <c r="M404" s="171"/>
      <c r="N404" s="171"/>
      <c r="O404" s="171"/>
      <c r="P404" s="171" t="s">
        <v>54</v>
      </c>
      <c r="Q404" s="171"/>
      <c r="R404" s="171"/>
      <c r="S404" s="151"/>
      <c r="T404" s="171"/>
      <c r="U404" s="171"/>
      <c r="V404" s="171"/>
      <c r="W404" s="171"/>
      <c r="X404" s="171"/>
      <c r="Y404" s="171"/>
      <c r="Z404" s="171"/>
      <c r="AA404" s="171"/>
      <c r="AB404" s="171"/>
      <c r="AC404" s="171"/>
      <c r="AD404" s="171"/>
      <c r="AE404" s="171"/>
      <c r="AF404" s="171"/>
      <c r="AG404" s="171"/>
      <c r="AH404" s="171"/>
      <c r="AI404" s="171" t="s">
        <v>54</v>
      </c>
      <c r="AJ404" s="171"/>
      <c r="AK404" s="171"/>
      <c r="AL404" s="151"/>
      <c r="AM404" s="502"/>
      <c r="AN404" s="502"/>
      <c r="AO404" s="502"/>
      <c r="AP404" s="502"/>
      <c r="AQ404" s="502"/>
      <c r="AR404" s="502"/>
      <c r="AS404" s="502"/>
      <c r="AT404" s="502"/>
      <c r="AU404" s="502"/>
      <c r="AV404" s="502"/>
      <c r="AW404" s="502"/>
      <c r="AX404" s="502"/>
      <c r="AY404" s="502"/>
      <c r="AZ404" s="502"/>
      <c r="BA404" s="502"/>
      <c r="BB404" s="502" t="s">
        <v>54</v>
      </c>
      <c r="BC404" s="502"/>
      <c r="BD404" s="502"/>
      <c r="BE404" s="502"/>
      <c r="BF404" s="502"/>
      <c r="BG404" s="502"/>
      <c r="BH404" s="502"/>
      <c r="BI404" s="502"/>
      <c r="BJ404" s="502"/>
      <c r="BK404" s="502"/>
      <c r="BL404" s="502"/>
      <c r="BM404" s="502"/>
      <c r="BN404" s="502"/>
      <c r="BO404" s="502"/>
      <c r="BP404" s="502"/>
      <c r="BQ404" s="502"/>
      <c r="BR404" s="502"/>
      <c r="BS404" s="502"/>
      <c r="BT404" s="502"/>
      <c r="BU404" s="502" t="s">
        <v>54</v>
      </c>
      <c r="BV404" s="502"/>
      <c r="BW404" s="502"/>
      <c r="BX404" s="502"/>
      <c r="BY404" s="797"/>
      <c r="BZ404" s="797"/>
      <c r="CA404" s="797"/>
      <c r="CB404" s="797"/>
      <c r="CC404" s="797"/>
      <c r="CD404" s="797"/>
      <c r="CE404" s="797"/>
      <c r="CF404" s="797"/>
      <c r="CG404" s="797"/>
      <c r="CH404" s="797"/>
      <c r="CI404" s="797"/>
      <c r="CJ404" s="797"/>
      <c r="CK404" s="797"/>
      <c r="CL404" s="797"/>
      <c r="CM404" s="797"/>
      <c r="CN404" s="797"/>
      <c r="CO404" s="797"/>
      <c r="CP404" s="797"/>
      <c r="CQ404" s="797"/>
      <c r="CR404" s="797"/>
      <c r="CS404" s="797"/>
      <c r="CT404" s="797"/>
      <c r="CU404" s="797"/>
    </row>
    <row r="405" spans="1:99" x14ac:dyDescent="0.25">
      <c r="A405" s="171"/>
      <c r="B405" s="171"/>
      <c r="C405" s="171"/>
      <c r="D405" s="171"/>
      <c r="E405" s="171"/>
      <c r="F405" s="171"/>
      <c r="G405" s="171"/>
      <c r="H405" s="171"/>
      <c r="I405" s="171"/>
      <c r="J405" s="171"/>
      <c r="K405" s="171"/>
      <c r="L405" s="171"/>
      <c r="M405" s="171"/>
      <c r="N405" s="171"/>
      <c r="O405" s="171"/>
      <c r="P405" s="171"/>
      <c r="Q405" s="171"/>
      <c r="R405" s="171"/>
      <c r="S405" s="151"/>
      <c r="T405" s="171"/>
      <c r="U405" s="171"/>
      <c r="V405" s="171"/>
      <c r="W405" s="171"/>
      <c r="X405" s="171"/>
      <c r="Y405" s="171"/>
      <c r="Z405" s="171"/>
      <c r="AA405" s="171"/>
      <c r="AB405" s="171"/>
      <c r="AC405" s="171"/>
      <c r="AD405" s="171"/>
      <c r="AE405" s="171"/>
      <c r="AF405" s="171"/>
      <c r="AG405" s="171"/>
      <c r="AH405" s="171"/>
      <c r="AI405" s="171"/>
      <c r="AJ405" s="171"/>
      <c r="AK405" s="171"/>
      <c r="AL405" s="151"/>
      <c r="AM405" s="502"/>
      <c r="AN405" s="502"/>
      <c r="AO405" s="502"/>
      <c r="AP405" s="502"/>
      <c r="AQ405" s="502"/>
      <c r="AR405" s="502"/>
      <c r="AS405" s="502"/>
      <c r="AT405" s="502"/>
      <c r="AU405" s="502"/>
      <c r="AV405" s="502"/>
      <c r="AW405" s="502"/>
      <c r="AX405" s="502"/>
      <c r="AY405" s="502"/>
      <c r="AZ405" s="502"/>
      <c r="BA405" s="502"/>
      <c r="BB405" s="502"/>
      <c r="BC405" s="502"/>
      <c r="BD405" s="502"/>
      <c r="BE405" s="502"/>
      <c r="BF405" s="502"/>
      <c r="BG405" s="502"/>
      <c r="BH405" s="502"/>
      <c r="BI405" s="502"/>
      <c r="BJ405" s="502"/>
      <c r="BK405" s="502"/>
      <c r="BL405" s="502"/>
      <c r="BM405" s="502"/>
      <c r="BN405" s="502"/>
      <c r="BO405" s="502"/>
      <c r="BP405" s="502"/>
      <c r="BQ405" s="502"/>
      <c r="BR405" s="502"/>
      <c r="BS405" s="502"/>
      <c r="BT405" s="502"/>
      <c r="BU405" s="502"/>
      <c r="BV405" s="502"/>
      <c r="BW405" s="502"/>
      <c r="BX405" s="502"/>
      <c r="BY405" s="797"/>
      <c r="BZ405" s="797"/>
      <c r="CA405" s="797"/>
      <c r="CB405" s="797"/>
      <c r="CC405" s="797"/>
      <c r="CD405" s="797"/>
      <c r="CE405" s="797"/>
      <c r="CF405" s="797"/>
      <c r="CG405" s="797"/>
      <c r="CH405" s="797"/>
      <c r="CI405" s="797"/>
      <c r="CJ405" s="797"/>
      <c r="CK405" s="797"/>
      <c r="CL405" s="797"/>
      <c r="CM405" s="797"/>
      <c r="CN405" s="797"/>
      <c r="CO405" s="797"/>
      <c r="CP405" s="797"/>
      <c r="CQ405" s="797"/>
      <c r="CR405" s="797"/>
      <c r="CS405" s="797"/>
      <c r="CT405" s="797"/>
      <c r="CU405" s="797"/>
    </row>
    <row r="406" spans="1:99" x14ac:dyDescent="0.25">
      <c r="A406" s="171"/>
      <c r="B406" s="171"/>
      <c r="C406" s="171"/>
      <c r="D406" s="171"/>
      <c r="E406" s="171"/>
      <c r="F406" s="171"/>
      <c r="G406" s="171"/>
      <c r="H406" s="171"/>
      <c r="I406" s="171"/>
      <c r="J406" s="171"/>
      <c r="K406" s="171"/>
      <c r="L406" s="171"/>
      <c r="M406" s="171"/>
      <c r="N406" s="171"/>
      <c r="O406" s="171"/>
      <c r="P406" s="171"/>
      <c r="Q406" s="171"/>
      <c r="R406" s="171"/>
      <c r="S406" s="151"/>
      <c r="T406" s="171"/>
      <c r="U406" s="171"/>
      <c r="V406" s="171"/>
      <c r="W406" s="171"/>
      <c r="X406" s="171"/>
      <c r="Y406" s="171"/>
      <c r="Z406" s="171"/>
      <c r="AA406" s="171"/>
      <c r="AB406" s="171"/>
      <c r="AC406" s="171"/>
      <c r="AD406" s="171"/>
      <c r="AE406" s="171"/>
      <c r="AF406" s="171"/>
      <c r="AG406" s="171"/>
      <c r="AH406" s="171"/>
      <c r="AI406" s="171"/>
      <c r="AJ406" s="171"/>
      <c r="AK406" s="171"/>
      <c r="AL406" s="151"/>
      <c r="AM406" s="502"/>
      <c r="AN406" s="502"/>
      <c r="AO406" s="502"/>
      <c r="AP406" s="502"/>
      <c r="AQ406" s="502"/>
      <c r="AR406" s="502"/>
      <c r="AS406" s="502"/>
      <c r="AT406" s="502"/>
      <c r="AU406" s="502"/>
      <c r="AV406" s="502"/>
      <c r="AW406" s="502"/>
      <c r="AX406" s="502"/>
      <c r="AY406" s="502"/>
      <c r="AZ406" s="502"/>
      <c r="BA406" s="502"/>
      <c r="BB406" s="502"/>
      <c r="BC406" s="502"/>
      <c r="BD406" s="502"/>
      <c r="BE406" s="502"/>
      <c r="BF406" s="502"/>
      <c r="BG406" s="502"/>
      <c r="BH406" s="502"/>
      <c r="BI406" s="502"/>
      <c r="BJ406" s="502"/>
      <c r="BK406" s="502"/>
      <c r="BL406" s="502"/>
      <c r="BM406" s="502"/>
      <c r="BN406" s="502"/>
      <c r="BO406" s="502"/>
      <c r="BP406" s="502"/>
      <c r="BQ406" s="502"/>
      <c r="BR406" s="502"/>
      <c r="BS406" s="502"/>
      <c r="BT406" s="502"/>
      <c r="BU406" s="502"/>
      <c r="BV406" s="502"/>
      <c r="BW406" s="502"/>
      <c r="BX406" s="502"/>
      <c r="BY406" s="797"/>
      <c r="BZ406" s="797"/>
      <c r="CA406" s="797"/>
      <c r="CB406" s="797"/>
      <c r="CC406" s="797"/>
      <c r="CD406" s="797"/>
      <c r="CE406" s="797"/>
      <c r="CF406" s="797"/>
      <c r="CG406" s="797"/>
      <c r="CH406" s="797"/>
      <c r="CI406" s="797"/>
      <c r="CJ406" s="797"/>
      <c r="CK406" s="797"/>
      <c r="CL406" s="797"/>
      <c r="CM406" s="797"/>
      <c r="CN406" s="797"/>
      <c r="CO406" s="797"/>
      <c r="CP406" s="797"/>
      <c r="CQ406" s="797"/>
      <c r="CR406" s="797"/>
      <c r="CS406" s="797"/>
      <c r="CT406" s="797"/>
      <c r="CU406" s="797"/>
    </row>
    <row r="407" spans="1:99" x14ac:dyDescent="0.25">
      <c r="A407" s="171"/>
      <c r="B407" s="171"/>
      <c r="C407" s="171"/>
      <c r="D407" s="171"/>
      <c r="E407" s="171"/>
      <c r="F407" s="171"/>
      <c r="G407" s="171"/>
      <c r="H407" s="171"/>
      <c r="I407" s="171"/>
      <c r="J407" s="171"/>
      <c r="K407" s="171"/>
      <c r="L407" s="171"/>
      <c r="M407" s="171"/>
      <c r="N407" s="171"/>
      <c r="O407" s="171"/>
      <c r="P407" s="171"/>
      <c r="Q407" s="171"/>
      <c r="R407" s="171"/>
      <c r="S407" s="151"/>
      <c r="T407" s="171"/>
      <c r="U407" s="171"/>
      <c r="V407" s="171"/>
      <c r="W407" s="171"/>
      <c r="X407" s="171"/>
      <c r="Y407" s="171"/>
      <c r="Z407" s="171"/>
      <c r="AA407" s="171"/>
      <c r="AB407" s="171"/>
      <c r="AC407" s="171"/>
      <c r="AD407" s="171"/>
      <c r="AE407" s="171"/>
      <c r="AF407" s="171"/>
      <c r="AG407" s="171"/>
      <c r="AH407" s="171"/>
      <c r="AI407" s="171"/>
      <c r="AJ407" s="171"/>
      <c r="AK407" s="171"/>
      <c r="AL407" s="151"/>
      <c r="AM407" s="502"/>
      <c r="AN407" s="502"/>
      <c r="AO407" s="502"/>
      <c r="AP407" s="502"/>
      <c r="AQ407" s="502"/>
      <c r="AR407" s="502"/>
      <c r="AS407" s="502"/>
      <c r="AT407" s="502"/>
      <c r="AU407" s="502"/>
      <c r="AV407" s="502"/>
      <c r="AW407" s="502"/>
      <c r="AX407" s="502"/>
      <c r="AY407" s="502"/>
      <c r="AZ407" s="502"/>
      <c r="BA407" s="502"/>
      <c r="BB407" s="502"/>
      <c r="BC407" s="502"/>
      <c r="BD407" s="502"/>
      <c r="BE407" s="502"/>
      <c r="BF407" s="502"/>
      <c r="BG407" s="502"/>
      <c r="BH407" s="502"/>
      <c r="BI407" s="502"/>
      <c r="BJ407" s="502"/>
      <c r="BK407" s="502"/>
      <c r="BL407" s="502"/>
      <c r="BM407" s="502"/>
      <c r="BN407" s="502"/>
      <c r="BO407" s="502"/>
      <c r="BP407" s="502"/>
      <c r="BQ407" s="502"/>
      <c r="BR407" s="502"/>
      <c r="BS407" s="502"/>
      <c r="BT407" s="502"/>
      <c r="BU407" s="502"/>
      <c r="BV407" s="502"/>
      <c r="BW407" s="502"/>
      <c r="BX407" s="502"/>
      <c r="BY407" s="797"/>
      <c r="BZ407" s="797"/>
      <c r="CA407" s="797"/>
      <c r="CB407" s="797"/>
      <c r="CC407" s="797"/>
      <c r="CD407" s="797"/>
      <c r="CE407" s="797"/>
      <c r="CF407" s="797"/>
      <c r="CG407" s="797"/>
      <c r="CH407" s="797"/>
      <c r="CI407" s="797"/>
      <c r="CJ407" s="797"/>
      <c r="CK407" s="797"/>
      <c r="CL407" s="797"/>
      <c r="CM407" s="797"/>
      <c r="CN407" s="797"/>
      <c r="CO407" s="797"/>
      <c r="CP407" s="797"/>
      <c r="CQ407" s="797"/>
      <c r="CR407" s="797"/>
      <c r="CS407" s="797"/>
      <c r="CT407" s="797"/>
      <c r="CU407" s="797"/>
    </row>
    <row r="408" spans="1:99" x14ac:dyDescent="0.25">
      <c r="A408" s="152">
        <f>P423</f>
        <v>226.39477403561821</v>
      </c>
      <c r="B408" s="153">
        <f>(A408*10^0.125)</f>
        <v>301.90228330626974</v>
      </c>
      <c r="C408" s="154">
        <f>INT(B408)</f>
        <v>301</v>
      </c>
      <c r="D408" s="154">
        <f>C408*4</f>
        <v>1204</v>
      </c>
      <c r="E408" s="154">
        <f>D408/5</f>
        <v>240.8</v>
      </c>
      <c r="F408" s="149">
        <f>E408^2</f>
        <v>57984.640000000007</v>
      </c>
      <c r="G408" s="149">
        <f>(F408^0.125)</f>
        <v>3.9392552332917776</v>
      </c>
      <c r="H408" s="149">
        <f>G408/3</f>
        <v>1.3130850777639258</v>
      </c>
      <c r="I408" s="149">
        <f>(H408*100)</f>
        <v>131.30850777639259</v>
      </c>
      <c r="J408" s="149">
        <f>(F408/100)</f>
        <v>579.84640000000002</v>
      </c>
      <c r="K408" s="149">
        <f>(J408+I408)/2</f>
        <v>355.57745388819632</v>
      </c>
      <c r="L408" s="149">
        <f>(K408+I408)/2</f>
        <v>243.44298083229444</v>
      </c>
      <c r="M408" s="149">
        <f>(L408+A408)/2</f>
        <v>234.91887743395631</v>
      </c>
      <c r="N408" s="149">
        <f>M408*100^0.5</f>
        <v>2349.1887743395632</v>
      </c>
      <c r="O408" s="149">
        <f>INT(N408)/10</f>
        <v>234.9</v>
      </c>
      <c r="P408" s="149">
        <f>(O408)^2/10000</f>
        <v>5.5178010000000004</v>
      </c>
      <c r="Q408" s="149">
        <f>(P408+I408+M408)/3</f>
        <v>123.91506207011629</v>
      </c>
      <c r="R408" s="150">
        <f>Q413^0.5</f>
        <v>36.323259941237922</v>
      </c>
      <c r="S408" s="151"/>
      <c r="T408" s="152">
        <f>AI423</f>
        <v>215.55484578633886</v>
      </c>
      <c r="U408" s="153">
        <f>(T408*10^0.125)</f>
        <v>287.44700666274304</v>
      </c>
      <c r="V408" s="154">
        <f>INT(U408)</f>
        <v>287</v>
      </c>
      <c r="W408" s="154">
        <f>V408*4</f>
        <v>1148</v>
      </c>
      <c r="X408" s="154">
        <f>W408/5</f>
        <v>229.6</v>
      </c>
      <c r="Y408" s="149">
        <f>X408^2</f>
        <v>52716.159999999996</v>
      </c>
      <c r="Z408" s="149">
        <f>(Y408^0.125)</f>
        <v>3.8926286157172316</v>
      </c>
      <c r="AA408" s="149">
        <f>Z408/3</f>
        <v>1.2975428719057438</v>
      </c>
      <c r="AB408" s="149">
        <f>(AA408*100)</f>
        <v>129.75428719057439</v>
      </c>
      <c r="AC408" s="149">
        <f>(Y408/100)</f>
        <v>527.16159999999991</v>
      </c>
      <c r="AD408" s="149">
        <f>(AC408+AB408)/2</f>
        <v>328.45794359528713</v>
      </c>
      <c r="AE408" s="149">
        <f>(AD408+AB408)/2</f>
        <v>229.10611539293075</v>
      </c>
      <c r="AF408" s="149">
        <f>(AE408+T408)/2</f>
        <v>222.33048058963482</v>
      </c>
      <c r="AG408" s="149">
        <f>AF408*100^0.5</f>
        <v>2223.3048058963482</v>
      </c>
      <c r="AH408" s="149">
        <f>INT(AG408)/10</f>
        <v>222.3</v>
      </c>
      <c r="AI408" s="149">
        <f>(AH408)^2/10000</f>
        <v>4.9417290000000005</v>
      </c>
      <c r="AJ408" s="149">
        <f>(AI408+AB408+AF408)/3</f>
        <v>119.00883226006972</v>
      </c>
      <c r="AK408" s="150">
        <f>AJ413^0.5</f>
        <v>36.323259941237922</v>
      </c>
      <c r="AL408" s="151"/>
      <c r="AM408" s="503">
        <f>BB423</f>
        <v>227.99093192543342</v>
      </c>
      <c r="AN408" s="504">
        <f>(AM408*10^0.125)</f>
        <v>304.03079406145486</v>
      </c>
      <c r="AO408" s="505">
        <f>INT(AN408)</f>
        <v>304</v>
      </c>
      <c r="AP408" s="505">
        <f>AO408*4</f>
        <v>1216</v>
      </c>
      <c r="AQ408" s="505">
        <f>AP408/5</f>
        <v>243.2</v>
      </c>
      <c r="AR408" s="500">
        <f>AQ408^2</f>
        <v>59146.239999999998</v>
      </c>
      <c r="AS408" s="500">
        <f>(AR408^0.125)</f>
        <v>3.9490341796057353</v>
      </c>
      <c r="AT408" s="500">
        <f>AS408/3</f>
        <v>1.316344726535245</v>
      </c>
      <c r="AU408" s="500">
        <f>(AT408*100)</f>
        <v>131.63447265352451</v>
      </c>
      <c r="AV408" s="500">
        <f>(AR408/100)</f>
        <v>591.4624</v>
      </c>
      <c r="AW408" s="500">
        <f>(AV408+AU408)/2</f>
        <v>361.54843632676227</v>
      </c>
      <c r="AX408" s="500">
        <f>(AW408+AU408)/2</f>
        <v>246.59145449014341</v>
      </c>
      <c r="AY408" s="500">
        <f>(AX408+AM408)/2</f>
        <v>237.29119320778841</v>
      </c>
      <c r="AZ408" s="500">
        <f>AY408*100^0.5</f>
        <v>2372.9119320778841</v>
      </c>
      <c r="BA408" s="500">
        <f>INT(AZ408)/10</f>
        <v>237.2</v>
      </c>
      <c r="BB408" s="500">
        <f>(BA408)^2/10000</f>
        <v>5.6263839999999998</v>
      </c>
      <c r="BC408" s="500">
        <f>(BB408+AU408+AY408)/3</f>
        <v>124.8506832871043</v>
      </c>
      <c r="BD408" s="501">
        <f>BC413^0.5</f>
        <v>32.451591404174579</v>
      </c>
      <c r="BE408" s="502"/>
      <c r="BF408" s="503">
        <f>BU423</f>
        <v>235.64016756326907</v>
      </c>
      <c r="BG408" s="504">
        <f>(BF408*10^0.125)</f>
        <v>314.2312137241762</v>
      </c>
      <c r="BH408" s="505">
        <f>INT(BG408)</f>
        <v>314</v>
      </c>
      <c r="BI408" s="505">
        <f>BH408*4</f>
        <v>1256</v>
      </c>
      <c r="BJ408" s="505">
        <f>BI408/5</f>
        <v>251.2</v>
      </c>
      <c r="BK408" s="500">
        <f>BJ408^2</f>
        <v>63101.439999999995</v>
      </c>
      <c r="BL408" s="500">
        <f>(BK408^0.125)</f>
        <v>3.9811167032538943</v>
      </c>
      <c r="BM408" s="500">
        <f>BL408/3</f>
        <v>1.3270389010846315</v>
      </c>
      <c r="BN408" s="500">
        <f>(BM408*100)</f>
        <v>132.70389010846316</v>
      </c>
      <c r="BO408" s="500">
        <f>(BK408/100)</f>
        <v>631.01439999999991</v>
      </c>
      <c r="BP408" s="500">
        <f>(BO408+BN408)/2</f>
        <v>381.85914505423153</v>
      </c>
      <c r="BQ408" s="500">
        <f>(BP408+BN408)/2</f>
        <v>257.28151758134732</v>
      </c>
      <c r="BR408" s="500">
        <f>(BQ408+BF408)/2</f>
        <v>246.4608425723082</v>
      </c>
      <c r="BS408" s="500">
        <f>BR408*100^0.5</f>
        <v>2464.6084257230818</v>
      </c>
      <c r="BT408" s="500">
        <f>INT(BS408)/10</f>
        <v>246.4</v>
      </c>
      <c r="BU408" s="500">
        <f>(BT408)^2/10000</f>
        <v>6.0712960000000002</v>
      </c>
      <c r="BV408" s="500">
        <f>(BU408+BN408+BR408)/3</f>
        <v>128.41200956025713</v>
      </c>
      <c r="BW408" s="501">
        <f>BV413^0.5</f>
        <v>32.451591404174579</v>
      </c>
      <c r="BX408" s="502"/>
      <c r="BY408" s="797"/>
      <c r="BZ408" s="797"/>
      <c r="CA408" s="797"/>
      <c r="CB408" s="797"/>
      <c r="CC408" s="797"/>
      <c r="CD408" s="797"/>
      <c r="CE408" s="797"/>
      <c r="CF408" s="797"/>
      <c r="CG408" s="797"/>
      <c r="CH408" s="797"/>
      <c r="CI408" s="797"/>
      <c r="CJ408" s="797"/>
      <c r="CK408" s="797"/>
      <c r="CL408" s="797"/>
      <c r="CM408" s="797"/>
      <c r="CN408" s="797"/>
      <c r="CO408" s="797"/>
      <c r="CP408" s="797"/>
      <c r="CQ408" s="797"/>
      <c r="CR408" s="797"/>
      <c r="CS408" s="797"/>
      <c r="CT408" s="797"/>
      <c r="CU408" s="797"/>
    </row>
    <row r="409" spans="1:99" x14ac:dyDescent="0.25">
      <c r="A409" s="163">
        <f>(O410-O409)</f>
        <v>3.3531023724264628</v>
      </c>
      <c r="B409" s="153">
        <f>(B410+A411)/2</f>
        <v>219.62261491561839</v>
      </c>
      <c r="C409" s="164">
        <f>(D411*C411*B411*C410*D410*A409)</f>
        <v>7268770796189.2734</v>
      </c>
      <c r="D409" s="154">
        <f>(C410*C409*A409)</f>
        <v>8333664122.0836287</v>
      </c>
      <c r="E409" s="163">
        <f>INT(A409+1)</f>
        <v>4</v>
      </c>
      <c r="F409" s="165">
        <f>(Q421*-1)</f>
        <v>-53.725406375295634</v>
      </c>
      <c r="G409" s="161"/>
      <c r="H409" s="152">
        <f>IF(F409&gt;0,-1,1)</f>
        <v>1</v>
      </c>
      <c r="I409" s="161"/>
      <c r="J409" s="161"/>
      <c r="K409" s="161"/>
      <c r="L409" s="161"/>
      <c r="M409" s="161"/>
      <c r="N409" s="161">
        <f>(M408+O408)/2</f>
        <v>234.90943871697817</v>
      </c>
      <c r="O409" s="161">
        <f>N409-A408</f>
        <v>8.5146646813599602</v>
      </c>
      <c r="P409" s="161">
        <f>(Q413+R411)/2</f>
        <v>1319.4787443793698</v>
      </c>
      <c r="Q409" s="162">
        <f>(Q412*A409*100)</f>
        <v>853.02536626843641</v>
      </c>
      <c r="R409" s="150">
        <f>INT(R408)+0.326</f>
        <v>36.326000000000001</v>
      </c>
      <c r="S409" s="151"/>
      <c r="T409" s="163">
        <f>(AH410-AH409)</f>
        <v>4.6777202591036655</v>
      </c>
      <c r="U409" s="153">
        <f>(U410+T411)/2</f>
        <v>208.66635833777184</v>
      </c>
      <c r="V409" s="164">
        <f>(W411*V411*U411*V410*W410*T409)</f>
        <v>181371891480510.37</v>
      </c>
      <c r="W409" s="154">
        <f>(V410*V409*T409)</f>
        <v>152821028607.97217</v>
      </c>
      <c r="X409" s="163">
        <f>INT(T409+1)</f>
        <v>5</v>
      </c>
      <c r="Y409" s="165">
        <f>(AJ421*-1)</f>
        <v>-15.028505423792623</v>
      </c>
      <c r="Z409" s="161"/>
      <c r="AA409" s="152">
        <f>IF(Y409&gt;0,-1,1)</f>
        <v>1</v>
      </c>
      <c r="AB409" s="161"/>
      <c r="AC409" s="161"/>
      <c r="AD409" s="161"/>
      <c r="AE409" s="161"/>
      <c r="AF409" s="161"/>
      <c r="AG409" s="161">
        <f>(AF408+AH408)/2</f>
        <v>222.31524029481741</v>
      </c>
      <c r="AH409" s="161">
        <f>AG409-T408</f>
        <v>6.7603945084785551</v>
      </c>
      <c r="AI409" s="161">
        <f>(AJ413+AK411)/2</f>
        <v>1319.4787443793698</v>
      </c>
      <c r="AJ409" s="162">
        <f>(AJ412*T409*100)</f>
        <v>2158.5139533936053</v>
      </c>
      <c r="AK409" s="150">
        <f>INT(AK408)+0.326</f>
        <v>36.326000000000001</v>
      </c>
      <c r="AL409" s="151"/>
      <c r="AM409" s="514">
        <f>(BA410-BA409)</f>
        <v>2.2670676306708515</v>
      </c>
      <c r="AN409" s="504">
        <f>(AN410+AM411)/2</f>
        <v>221.66329886319988</v>
      </c>
      <c r="AO409" s="515">
        <f>(AP411*AO411*AN411*AO410*AP410*AM409)</f>
        <v>118996010842.19975</v>
      </c>
      <c r="AP409" s="505">
        <f>(AO410*AO409*AM409)</f>
        <v>219962588.99790299</v>
      </c>
      <c r="AQ409" s="514">
        <f>INT(AM409+1)</f>
        <v>3</v>
      </c>
      <c r="AR409" s="516">
        <f>(BC421*-1)</f>
        <v>-4.0715248578934009</v>
      </c>
      <c r="AS409" s="512"/>
      <c r="AT409" s="503">
        <f>IF(AR409&gt;0,-1,1)</f>
        <v>1</v>
      </c>
      <c r="AU409" s="512"/>
      <c r="AV409" s="512"/>
      <c r="AW409" s="512"/>
      <c r="AX409" s="512"/>
      <c r="AY409" s="512"/>
      <c r="AZ409" s="512">
        <f>(AY408+BA408)/2</f>
        <v>237.2455966038942</v>
      </c>
      <c r="BA409" s="512">
        <f>AZ409-AM408</f>
        <v>9.2546646784607844</v>
      </c>
      <c r="BB409" s="512">
        <f>(BC413+BD411)/2</f>
        <v>1049.0380303317488</v>
      </c>
      <c r="BC409" s="513">
        <f>(BC412*AM409*100)</f>
        <v>499.49543489913248</v>
      </c>
      <c r="BD409" s="501">
        <f>INT(BD408)+0.326</f>
        <v>32.326000000000001</v>
      </c>
      <c r="BE409" s="502"/>
      <c r="BF409" s="514">
        <f>(BT410-BT409)</f>
        <v>0.77982934865264042</v>
      </c>
      <c r="BG409" s="504">
        <f>(BG410+BF411)/2</f>
        <v>229.66016869033706</v>
      </c>
      <c r="BH409" s="515">
        <f>(BI411*BH411*BG411*BH410*BI410*BF409)</f>
        <v>661482.54409464542</v>
      </c>
      <c r="BI409" s="505">
        <f>(BH410*BH409*BF409)</f>
        <v>6323.3185771650824</v>
      </c>
      <c r="BJ409" s="514">
        <f>INT(BF409+1)</f>
        <v>1</v>
      </c>
      <c r="BK409" s="516">
        <f>(BV421*-1)</f>
        <v>-8.963645477153008E-2</v>
      </c>
      <c r="BL409" s="512"/>
      <c r="BM409" s="503">
        <f>IF(BK409&gt;0,-1,1)</f>
        <v>1</v>
      </c>
      <c r="BN409" s="512"/>
      <c r="BO409" s="512"/>
      <c r="BP409" s="512"/>
      <c r="BQ409" s="512"/>
      <c r="BR409" s="512"/>
      <c r="BS409" s="512">
        <f>(BR408+BT408)/2</f>
        <v>246.43042128615411</v>
      </c>
      <c r="BT409" s="512">
        <f>BS409-BF408</f>
        <v>10.790253722885041</v>
      </c>
      <c r="BU409" s="512">
        <f>(BV413+BW411)/2</f>
        <v>1049.0380303317488</v>
      </c>
      <c r="BV409" s="513">
        <f>(BV412*BF409*100)</f>
        <v>104.99521331449881</v>
      </c>
      <c r="BW409" s="501">
        <f>INT(BW408)+0.326</f>
        <v>32.326000000000001</v>
      </c>
      <c r="BX409" s="502"/>
      <c r="BY409" s="797"/>
      <c r="BZ409" s="797"/>
      <c r="CA409" s="797"/>
      <c r="CB409" s="797"/>
      <c r="CC409" s="797"/>
      <c r="CD409" s="797"/>
      <c r="CE409" s="797"/>
      <c r="CF409" s="797"/>
      <c r="CG409" s="797"/>
      <c r="CH409" s="797"/>
      <c r="CI409" s="797"/>
      <c r="CJ409" s="797"/>
      <c r="CK409" s="797"/>
      <c r="CL409" s="797"/>
      <c r="CM409" s="797"/>
      <c r="CN409" s="797"/>
      <c r="CO409" s="797"/>
      <c r="CP409" s="797"/>
      <c r="CQ409" s="797"/>
      <c r="CR409" s="797"/>
      <c r="CS409" s="797"/>
      <c r="CT409" s="797"/>
      <c r="CU409" s="797"/>
    </row>
    <row r="410" spans="1:99" x14ac:dyDescent="0.25">
      <c r="A410" s="163">
        <f>N409</f>
        <v>234.90943871697817</v>
      </c>
      <c r="B410" s="172">
        <f>(N409+N411)/2</f>
        <v>224.71822284940498</v>
      </c>
      <c r="C410" s="154">
        <f>(A409/D411)</f>
        <v>3.4192291335635532E-4</v>
      </c>
      <c r="D410" s="154">
        <f>(A409+B411+C411+D411)</f>
        <v>22541.195533603248</v>
      </c>
      <c r="E410" s="173">
        <f>(E409*C411)</f>
        <v>11698.543279055306</v>
      </c>
      <c r="F410" s="174"/>
      <c r="G410" s="161"/>
      <c r="H410" s="161"/>
      <c r="I410" s="161"/>
      <c r="J410" s="161"/>
      <c r="K410" s="161"/>
      <c r="L410" s="161"/>
      <c r="M410" s="161">
        <f>(N409+N411)/2</f>
        <v>224.71822284940498</v>
      </c>
      <c r="N410" s="161">
        <f>(I408+N409)/2</f>
        <v>183.10897324668537</v>
      </c>
      <c r="O410" s="161">
        <f>A408-N411</f>
        <v>11.867767053786423</v>
      </c>
      <c r="P410" s="161"/>
      <c r="Q410" s="149"/>
      <c r="R410" s="171"/>
      <c r="S410" s="151"/>
      <c r="T410" s="163">
        <f>AG409</f>
        <v>222.31524029481741</v>
      </c>
      <c r="U410" s="172">
        <f>(AG409+AG411)/2</f>
        <v>213.21598565678704</v>
      </c>
      <c r="V410" s="154">
        <f>(T409/W411)</f>
        <v>1.8012703076915803E-4</v>
      </c>
      <c r="W410" s="154">
        <f>(T409+U411+V411+W411)</f>
        <v>57494.330849990394</v>
      </c>
      <c r="X410" s="173">
        <f>(X409*V411)</f>
        <v>27758.188088981242</v>
      </c>
      <c r="Y410" s="174"/>
      <c r="Z410" s="161"/>
      <c r="AA410" s="161"/>
      <c r="AB410" s="161"/>
      <c r="AC410" s="161"/>
      <c r="AD410" s="161"/>
      <c r="AE410" s="161"/>
      <c r="AF410" s="161">
        <f>(AG409+AG411)/2</f>
        <v>213.21598565678704</v>
      </c>
      <c r="AG410" s="161">
        <f>(AB408+AG409)/2</f>
        <v>176.0347637426959</v>
      </c>
      <c r="AH410" s="161">
        <f>T408-AG411</f>
        <v>11.438114767582221</v>
      </c>
      <c r="AI410" s="161"/>
      <c r="AJ410" s="149"/>
      <c r="AK410" s="171"/>
      <c r="AL410" s="151"/>
      <c r="AM410" s="514">
        <f>AZ409</f>
        <v>237.2455966038942</v>
      </c>
      <c r="AN410" s="522">
        <f>(AZ409+AZ411)/2</f>
        <v>226.85739811009799</v>
      </c>
      <c r="AO410" s="505">
        <f>(AM409/AP411)</f>
        <v>8.1536477263569312E-4</v>
      </c>
      <c r="AP410" s="505">
        <f>(AM409+AN411+AO411+AP411)</f>
        <v>6789.5792585319668</v>
      </c>
      <c r="AQ410" s="523">
        <f>(AQ409*AO411)</f>
        <v>3679.3348212756391</v>
      </c>
      <c r="AR410" s="524"/>
      <c r="AS410" s="512"/>
      <c r="AT410" s="512"/>
      <c r="AU410" s="512"/>
      <c r="AV410" s="512"/>
      <c r="AW410" s="512"/>
      <c r="AX410" s="512"/>
      <c r="AY410" s="512">
        <f>(AZ409+AZ411)/2</f>
        <v>226.85739811009799</v>
      </c>
      <c r="AZ410" s="512">
        <f>(AU408+AZ409)/2</f>
        <v>184.44003462870936</v>
      </c>
      <c r="BA410" s="512">
        <f>AM408-AZ411</f>
        <v>11.521732309131636</v>
      </c>
      <c r="BB410" s="512"/>
      <c r="BC410" s="500"/>
      <c r="BD410" s="502"/>
      <c r="BE410" s="502"/>
      <c r="BF410" s="514">
        <f>BS409</f>
        <v>246.43042128615411</v>
      </c>
      <c r="BG410" s="522">
        <f>(BS409+BS411)/2</f>
        <v>235.25025288894275</v>
      </c>
      <c r="BH410" s="505">
        <f>(BF409/BI411)</f>
        <v>1.2258211179745567E-2</v>
      </c>
      <c r="BI410" s="505">
        <f>(BF409+BG411+BH411+BI411)</f>
        <v>209.59159313476238</v>
      </c>
      <c r="BJ410" s="523">
        <f>(BJ409*BH411)</f>
        <v>81.577971315448991</v>
      </c>
      <c r="BK410" s="524"/>
      <c r="BL410" s="512"/>
      <c r="BM410" s="512"/>
      <c r="BN410" s="512"/>
      <c r="BO410" s="512"/>
      <c r="BP410" s="512"/>
      <c r="BQ410" s="512"/>
      <c r="BR410" s="512">
        <f>(BS409+BS411)/2</f>
        <v>235.25025288894275</v>
      </c>
      <c r="BS410" s="512">
        <f>(BN408+BS409)/2</f>
        <v>189.56715569730864</v>
      </c>
      <c r="BT410" s="512">
        <f>BF408-BS411</f>
        <v>11.570083071537681</v>
      </c>
      <c r="BU410" s="512"/>
      <c r="BV410" s="500"/>
      <c r="BW410" s="502"/>
      <c r="BX410" s="502"/>
      <c r="BY410" s="797"/>
      <c r="BZ410" s="797"/>
      <c r="CA410" s="797"/>
      <c r="CB410" s="797"/>
      <c r="CC410" s="797"/>
      <c r="CD410" s="797"/>
      <c r="CE410" s="797"/>
      <c r="CF410" s="797"/>
      <c r="CG410" s="797"/>
      <c r="CH410" s="797"/>
      <c r="CI410" s="797"/>
      <c r="CJ410" s="797"/>
      <c r="CK410" s="797"/>
      <c r="CL410" s="797"/>
      <c r="CM410" s="797"/>
      <c r="CN410" s="797"/>
      <c r="CO410" s="797"/>
      <c r="CP410" s="797"/>
      <c r="CQ410" s="797"/>
      <c r="CR410" s="797"/>
      <c r="CS410" s="797"/>
      <c r="CT410" s="797"/>
      <c r="CU410" s="797"/>
    </row>
    <row r="411" spans="1:99" x14ac:dyDescent="0.25">
      <c r="A411" s="277">
        <f>N411</f>
        <v>214.52700698183179</v>
      </c>
      <c r="B411" s="153">
        <f>G417</f>
        <v>9806.6033057334989</v>
      </c>
      <c r="C411" s="154">
        <f>(B411/A409)</f>
        <v>2924.6358197638265</v>
      </c>
      <c r="D411" s="154">
        <f>(A409*C411)</f>
        <v>9806.6033057334989</v>
      </c>
      <c r="E411" s="163">
        <f>INT(A409)+1</f>
        <v>4</v>
      </c>
      <c r="F411" s="174">
        <f>(Q421)</f>
        <v>53.725406375295634</v>
      </c>
      <c r="G411" s="161"/>
      <c r="H411" s="152">
        <f>IF(F409&lt;0,1,-1)</f>
        <v>1</v>
      </c>
      <c r="I411" s="161"/>
      <c r="J411" s="161"/>
      <c r="K411" s="161"/>
      <c r="L411" s="161"/>
      <c r="M411" s="161">
        <f>(N410+P408*2)</f>
        <v>194.14457524668538</v>
      </c>
      <c r="N411" s="161">
        <f>(N409+M411)/2</f>
        <v>214.52700698183179</v>
      </c>
      <c r="O411" s="161">
        <f>(N410+J408)/2</f>
        <v>381.47768662334272</v>
      </c>
      <c r="P411" s="152">
        <f>IF(Q421&gt;1,-1,1)</f>
        <v>-1</v>
      </c>
      <c r="Q411" s="162">
        <f>F419-F416</f>
        <v>-1.667270400760283</v>
      </c>
      <c r="R411" s="150">
        <f>R409^2</f>
        <v>1319.578276</v>
      </c>
      <c r="S411" s="151"/>
      <c r="T411" s="277">
        <f>AG411</f>
        <v>204.11673101875664</v>
      </c>
      <c r="U411" s="153">
        <f>Z417</f>
        <v>25969.007755967523</v>
      </c>
      <c r="V411" s="154">
        <f>(U411/T409)</f>
        <v>5551.6376177962484</v>
      </c>
      <c r="W411" s="154">
        <f>(T409*V411)</f>
        <v>25969.007755967523</v>
      </c>
      <c r="X411" s="163">
        <f>INT(T409)+1</f>
        <v>5</v>
      </c>
      <c r="Y411" s="174">
        <f>(AJ421)</f>
        <v>15.028505423792623</v>
      </c>
      <c r="Z411" s="161"/>
      <c r="AA411" s="152">
        <f>IF(Y409&lt;0,1,-1)</f>
        <v>1</v>
      </c>
      <c r="AB411" s="161"/>
      <c r="AC411" s="161"/>
      <c r="AD411" s="161"/>
      <c r="AE411" s="161"/>
      <c r="AF411" s="161">
        <f>(AG410+AI408*2)</f>
        <v>185.91822174269589</v>
      </c>
      <c r="AG411" s="161">
        <f>(AG409+AF411)/2</f>
        <v>204.11673101875664</v>
      </c>
      <c r="AH411" s="161">
        <f>(AG410+AC408)/2</f>
        <v>351.59818187134789</v>
      </c>
      <c r="AI411" s="152">
        <f>IF(AJ421&gt;1,-1,1)</f>
        <v>-1</v>
      </c>
      <c r="AJ411" s="162">
        <f>Y419-Y416</f>
        <v>-0.99461676774651053</v>
      </c>
      <c r="AK411" s="150">
        <f>AK409^2</f>
        <v>1319.578276</v>
      </c>
      <c r="AL411" s="151"/>
      <c r="AM411" s="616">
        <f>AZ411</f>
        <v>216.46919961630178</v>
      </c>
      <c r="AN411" s="504">
        <f>AS417</f>
        <v>2780.4336252380413</v>
      </c>
      <c r="AO411" s="505">
        <f>(AN411/AM409)</f>
        <v>1226.444940425213</v>
      </c>
      <c r="AP411" s="505">
        <f>(AM409*AO411)</f>
        <v>2780.4336252380413</v>
      </c>
      <c r="AQ411" s="514">
        <f>INT(AM409)+1</f>
        <v>3</v>
      </c>
      <c r="AR411" s="524">
        <f>(BC421)</f>
        <v>4.0715248578934009</v>
      </c>
      <c r="AS411" s="512"/>
      <c r="AT411" s="503">
        <f>IF(AR409&lt;0,1,-1)</f>
        <v>1</v>
      </c>
      <c r="AU411" s="512"/>
      <c r="AV411" s="512"/>
      <c r="AW411" s="512"/>
      <c r="AX411" s="512"/>
      <c r="AY411" s="512">
        <f>(AZ410+BB408*2)</f>
        <v>195.69280262870936</v>
      </c>
      <c r="AZ411" s="512">
        <f>(AZ409+AY411)/2</f>
        <v>216.46919961630178</v>
      </c>
      <c r="BA411" s="512">
        <f>(AZ410+AV408)/2</f>
        <v>387.95121731435466</v>
      </c>
      <c r="BB411" s="503">
        <f>IF(BC421&gt;1,-1,1)</f>
        <v>-1</v>
      </c>
      <c r="BC411" s="513">
        <f>AR419-AR416</f>
        <v>-1.1988355442948206</v>
      </c>
      <c r="BD411" s="501">
        <f>BD409^2</f>
        <v>1044.970276</v>
      </c>
      <c r="BE411" s="502"/>
      <c r="BF411" s="616">
        <f>BS411</f>
        <v>224.07008449173139</v>
      </c>
      <c r="BG411" s="504">
        <f>BL417</f>
        <v>63.616896235330373</v>
      </c>
      <c r="BH411" s="505">
        <f>(BG411/BF409)</f>
        <v>81.577971315448991</v>
      </c>
      <c r="BI411" s="505">
        <f>(BF409*BH411)</f>
        <v>63.616896235330373</v>
      </c>
      <c r="BJ411" s="514">
        <f>INT(BF409)+1</f>
        <v>1</v>
      </c>
      <c r="BK411" s="524">
        <f>(BV421)</f>
        <v>8.963645477153008E-2</v>
      </c>
      <c r="BL411" s="512"/>
      <c r="BM411" s="503">
        <f>IF(BK409&lt;0,1,-1)</f>
        <v>1</v>
      </c>
      <c r="BN411" s="512"/>
      <c r="BO411" s="512"/>
      <c r="BP411" s="512"/>
      <c r="BQ411" s="512"/>
      <c r="BR411" s="512">
        <f>(BS410+BU408*2)</f>
        <v>201.70974769730864</v>
      </c>
      <c r="BS411" s="512">
        <f>(BS409+BR411)/2</f>
        <v>224.07008449173139</v>
      </c>
      <c r="BT411" s="512">
        <f>(BS410+BO408)/2</f>
        <v>410.29077784865427</v>
      </c>
      <c r="BU411" s="503">
        <f>IF(BV421&gt;1,-1,1)</f>
        <v>1</v>
      </c>
      <c r="BV411" s="513">
        <f>BK419-BK416</f>
        <v>-0.71480087905656742</v>
      </c>
      <c r="BW411" s="501">
        <f>BW409^2</f>
        <v>1044.970276</v>
      </c>
      <c r="BX411" s="502"/>
      <c r="BY411" s="797"/>
      <c r="BZ411" s="797"/>
      <c r="CA411" s="797"/>
      <c r="CB411" s="797"/>
      <c r="CC411" s="797"/>
      <c r="CD411" s="797"/>
      <c r="CE411" s="797"/>
      <c r="CF411" s="797"/>
      <c r="CG411" s="797"/>
      <c r="CH411" s="797"/>
      <c r="CI411" s="797"/>
      <c r="CJ411" s="797"/>
      <c r="CK411" s="797"/>
      <c r="CL411" s="797"/>
      <c r="CM411" s="797"/>
      <c r="CN411" s="797"/>
      <c r="CO411" s="797"/>
      <c r="CP411" s="797"/>
      <c r="CQ411" s="797"/>
      <c r="CR411" s="797"/>
      <c r="CS411" s="797"/>
      <c r="CT411" s="797"/>
      <c r="CU411" s="797"/>
    </row>
    <row r="412" spans="1:99" x14ac:dyDescent="0.25">
      <c r="A412" s="277">
        <f>(O410+O409)+A408</f>
        <v>246.7772057707646</v>
      </c>
      <c r="B412" s="180">
        <f>(A410+B410)/2</f>
        <v>229.81383078319158</v>
      </c>
      <c r="C412" s="163">
        <f>(C410)</f>
        <v>3.4192291335635532E-4</v>
      </c>
      <c r="D412" s="154">
        <f>(D409*D410*D411*B411*A409)</f>
        <v>6.0575494395851799E+22</v>
      </c>
      <c r="E412" s="154">
        <f>(C412*A409)</f>
        <v>1.1465025319621629E-3</v>
      </c>
      <c r="F412" s="161">
        <f>(F414/O414)*O415-F415</f>
        <v>56.616775052792804</v>
      </c>
      <c r="G412" s="161"/>
      <c r="H412" s="161"/>
      <c r="I412" s="161"/>
      <c r="J412" s="161"/>
      <c r="K412" s="161"/>
      <c r="L412" s="161"/>
      <c r="M412" s="161"/>
      <c r="N412" s="162">
        <f>(F412+Q421)*F415</f>
        <v>-5928.1785375606505</v>
      </c>
      <c r="O412" s="152">
        <f>H411</f>
        <v>1</v>
      </c>
      <c r="P412" s="152">
        <f>IF(Q421&lt;100,1,-1)</f>
        <v>1</v>
      </c>
      <c r="Q412" s="162">
        <f>Q411+F419</f>
        <v>2.5439884367477488</v>
      </c>
      <c r="R412" s="171"/>
      <c r="S412" s="151"/>
      <c r="T412" s="277">
        <f>(AH410+AH409)+T408</f>
        <v>233.75335506239963</v>
      </c>
      <c r="U412" s="180">
        <f>(T410+U410)/2</f>
        <v>217.76561297580224</v>
      </c>
      <c r="V412" s="163">
        <f>(V410)</f>
        <v>1.8012703076915803E-4</v>
      </c>
      <c r="W412" s="154">
        <f>(W409*W410*W411*U411*T409)</f>
        <v>2.7717439016625103E+25</v>
      </c>
      <c r="X412" s="154">
        <f>(V412*T409)</f>
        <v>8.4258386104107985E-4</v>
      </c>
      <c r="Y412" s="161">
        <f>(Y414/AH414)*AH415-Y415</f>
        <v>18.186494286226001</v>
      </c>
      <c r="Z412" s="161"/>
      <c r="AA412" s="161"/>
      <c r="AB412" s="161"/>
      <c r="AC412" s="161"/>
      <c r="AD412" s="161"/>
      <c r="AE412" s="161"/>
      <c r="AF412" s="161"/>
      <c r="AG412" s="162">
        <f>(Y412+AJ421)*Y415</f>
        <v>-499.17180329328528</v>
      </c>
      <c r="AH412" s="152">
        <f>AA411</f>
        <v>1</v>
      </c>
      <c r="AI412" s="152">
        <f>IF(AJ421&lt;100,1,-1)</f>
        <v>1</v>
      </c>
      <c r="AJ412" s="162">
        <f>AJ411+Y419</f>
        <v>4.6144571154992819</v>
      </c>
      <c r="AK412" s="171"/>
      <c r="AL412" s="151"/>
      <c r="AM412" s="616">
        <f>(BA410+BA409)+AM408</f>
        <v>248.76732891302584</v>
      </c>
      <c r="AN412" s="531">
        <f>(AM410+AN410)/2</f>
        <v>232.05149735699609</v>
      </c>
      <c r="AO412" s="514">
        <f>(AO410)</f>
        <v>8.1536477263569312E-4</v>
      </c>
      <c r="AP412" s="505">
        <f>(AP409*AP410*AP411*AN411*AM409)</f>
        <v>2.6174670625272791E+19</v>
      </c>
      <c r="AQ412" s="505">
        <f>(AO412*AM409)</f>
        <v>1.8484870832316783E-3</v>
      </c>
      <c r="AR412" s="512">
        <f>(AR414/BA414)*BA415-AR415</f>
        <v>4.999792434136034</v>
      </c>
      <c r="AS412" s="512"/>
      <c r="AT412" s="512"/>
      <c r="AU412" s="512"/>
      <c r="AV412" s="512"/>
      <c r="AW412" s="512"/>
      <c r="AX412" s="512"/>
      <c r="AY412" s="512"/>
      <c r="AZ412" s="513">
        <f>(AR412+BC421)*AR415</f>
        <v>-36.93409384833609</v>
      </c>
      <c r="BA412" s="503">
        <f>AT411</f>
        <v>1</v>
      </c>
      <c r="BB412" s="503">
        <f>IF(BC421&lt;100,1,-1)</f>
        <v>1</v>
      </c>
      <c r="BC412" s="513">
        <f>BC411+AR419</f>
        <v>2.2032665816472621</v>
      </c>
      <c r="BD412" s="502"/>
      <c r="BE412" s="502"/>
      <c r="BF412" s="616">
        <f>(BT410+BT409)+BF408</f>
        <v>258.0005043576918</v>
      </c>
      <c r="BG412" s="531">
        <f>(BF410+BG410)/2</f>
        <v>240.84033708754845</v>
      </c>
      <c r="BH412" s="514">
        <f>(BH410)</f>
        <v>1.2258211179745567E-2</v>
      </c>
      <c r="BI412" s="505">
        <f>(BI409*BI410*BI411*BG411*BF409)</f>
        <v>4182764859.5440927</v>
      </c>
      <c r="BJ412" s="505">
        <f>(BH412*BF409)</f>
        <v>9.5593128399475008E-3</v>
      </c>
      <c r="BK412" s="512">
        <f>(BK414/BT414)*BT415-BK415</f>
        <v>0.14477286135193324</v>
      </c>
      <c r="BL412" s="512"/>
      <c r="BM412" s="512"/>
      <c r="BN412" s="512"/>
      <c r="BO412" s="512"/>
      <c r="BP412" s="512"/>
      <c r="BQ412" s="512"/>
      <c r="BR412" s="512"/>
      <c r="BS412" s="513">
        <f>(BK412+BV421)*BK415</f>
        <v>-2.1011620062726118E-2</v>
      </c>
      <c r="BT412" s="503">
        <f>BM411</f>
        <v>1</v>
      </c>
      <c r="BU412" s="503">
        <f>IF(BV421&lt;100,1,-1)</f>
        <v>1</v>
      </c>
      <c r="BV412" s="513">
        <f>BV411+BK419</f>
        <v>1.3463870460364893</v>
      </c>
      <c r="BW412" s="502"/>
      <c r="BX412" s="502"/>
      <c r="BY412" s="797"/>
      <c r="BZ412" s="797"/>
      <c r="CA412" s="797"/>
      <c r="CB412" s="797"/>
      <c r="CC412" s="797"/>
      <c r="CD412" s="797"/>
      <c r="CE412" s="797"/>
      <c r="CF412" s="797"/>
      <c r="CG412" s="797"/>
      <c r="CH412" s="797"/>
      <c r="CI412" s="797"/>
      <c r="CJ412" s="797"/>
      <c r="CK412" s="797"/>
      <c r="CL412" s="797"/>
      <c r="CM412" s="797"/>
      <c r="CN412" s="797"/>
      <c r="CO412" s="797"/>
      <c r="CP412" s="797"/>
      <c r="CQ412" s="797"/>
      <c r="CR412" s="797"/>
      <c r="CS412" s="797"/>
      <c r="CT412" s="797"/>
      <c r="CU412" s="797"/>
    </row>
    <row r="413" spans="1:99" x14ac:dyDescent="0.25">
      <c r="A413" s="277">
        <f>(O410*-1-O409)+A408</f>
        <v>206.01234230047183</v>
      </c>
      <c r="B413" s="154">
        <f>(B410+B409)/2</f>
        <v>222.17041888251168</v>
      </c>
      <c r="C413" s="154">
        <f>(B409+A411)/2</f>
        <v>217.07481094872509</v>
      </c>
      <c r="D413" s="154">
        <f>D409</f>
        <v>8333664122.0836287</v>
      </c>
      <c r="E413" s="154">
        <f>(B410+A408)/2</f>
        <v>225.55649844251161</v>
      </c>
      <c r="F413" s="161">
        <f>(F415/O415)</f>
        <v>-28.06659156629236</v>
      </c>
      <c r="G413" s="161"/>
      <c r="H413" s="161"/>
      <c r="I413" s="161"/>
      <c r="J413" s="161"/>
      <c r="K413" s="161"/>
      <c r="L413" s="161"/>
      <c r="M413" s="161"/>
      <c r="N413" s="161"/>
      <c r="O413" s="152">
        <f>H409</f>
        <v>1</v>
      </c>
      <c r="P413" s="152">
        <f>IF(Q421&lt;0,-1,1)</f>
        <v>1</v>
      </c>
      <c r="Q413" s="183">
        <f>Q345</f>
        <v>1319.3792127587394</v>
      </c>
      <c r="R413" s="184" t="s">
        <v>51</v>
      </c>
      <c r="S413" s="151"/>
      <c r="T413" s="277">
        <f>(AH410*-1-AH409)+T408</f>
        <v>197.35633651027808</v>
      </c>
      <c r="U413" s="154">
        <f>(U410+U409)/2</f>
        <v>210.94117199727944</v>
      </c>
      <c r="V413" s="154">
        <f>(U409+T411)/2</f>
        <v>206.39154467826424</v>
      </c>
      <c r="W413" s="154">
        <f>W409</f>
        <v>152821028607.97217</v>
      </c>
      <c r="X413" s="154">
        <f>(U410+T408)/2</f>
        <v>214.38541572156294</v>
      </c>
      <c r="Y413" s="161">
        <f>(Y415/AH415)</f>
        <v>-14.242544829899451</v>
      </c>
      <c r="Z413" s="161"/>
      <c r="AA413" s="161"/>
      <c r="AB413" s="161"/>
      <c r="AC413" s="161"/>
      <c r="AD413" s="161"/>
      <c r="AE413" s="161"/>
      <c r="AF413" s="161"/>
      <c r="AG413" s="161"/>
      <c r="AH413" s="152">
        <f>AA409</f>
        <v>1</v>
      </c>
      <c r="AI413" s="152">
        <f>IF(AJ421&lt;0,-1,1)</f>
        <v>1</v>
      </c>
      <c r="AJ413" s="183">
        <f>Q345</f>
        <v>1319.3792127587394</v>
      </c>
      <c r="AK413" s="184" t="s">
        <v>51</v>
      </c>
      <c r="AL413" s="151"/>
      <c r="AM413" s="616">
        <f>(BA410*-1-BA409)+AM408</f>
        <v>207.21453493784099</v>
      </c>
      <c r="AN413" s="505">
        <f>(AN410+AN409)/2</f>
        <v>224.26034848664892</v>
      </c>
      <c r="AO413" s="505">
        <f>(AN409+AM411)/2</f>
        <v>219.06624923975085</v>
      </c>
      <c r="AP413" s="505">
        <f>AP409</f>
        <v>219962588.99790299</v>
      </c>
      <c r="AQ413" s="505">
        <f>(AN410+AM408)/2</f>
        <v>227.42416501776569</v>
      </c>
      <c r="AR413" s="512">
        <f>(AR415/BA415)</f>
        <v>-2.6754471204988008</v>
      </c>
      <c r="AS413" s="512"/>
      <c r="AT413" s="512"/>
      <c r="AU413" s="512"/>
      <c r="AV413" s="512"/>
      <c r="AW413" s="512"/>
      <c r="AX413" s="512"/>
      <c r="AY413" s="512"/>
      <c r="AZ413" s="512"/>
      <c r="BA413" s="503">
        <f>AT409</f>
        <v>1</v>
      </c>
      <c r="BB413" s="503">
        <f>IF(BC421&lt;0,-1,1)</f>
        <v>1</v>
      </c>
      <c r="BC413" s="534">
        <f>BC345</f>
        <v>1053.1057846634974</v>
      </c>
      <c r="BD413" s="535" t="s">
        <v>51</v>
      </c>
      <c r="BE413" s="502"/>
      <c r="BF413" s="616">
        <f>(BT410*-1-BT409)+BF408</f>
        <v>213.27983076884635</v>
      </c>
      <c r="BG413" s="505">
        <f>(BG410+BG409)/2</f>
        <v>232.45521078963992</v>
      </c>
      <c r="BH413" s="505">
        <f>(BG409+BF411)/2</f>
        <v>226.86512659103423</v>
      </c>
      <c r="BI413" s="505">
        <f>BI409</f>
        <v>6323.3185771650824</v>
      </c>
      <c r="BJ413" s="505">
        <f>(BG410+BF408)/2</f>
        <v>235.44521022610593</v>
      </c>
      <c r="BK413" s="512">
        <f>(BK415/BT415)</f>
        <v>-0.10684820466881</v>
      </c>
      <c r="BL413" s="512"/>
      <c r="BM413" s="512"/>
      <c r="BN413" s="512"/>
      <c r="BO413" s="512"/>
      <c r="BP413" s="512"/>
      <c r="BQ413" s="512"/>
      <c r="BR413" s="512"/>
      <c r="BS413" s="512"/>
      <c r="BT413" s="503">
        <f>BM409</f>
        <v>1</v>
      </c>
      <c r="BU413" s="503">
        <f>IF(BV421&lt;0,-1,1)</f>
        <v>1</v>
      </c>
      <c r="BV413" s="534">
        <f>BC345</f>
        <v>1053.1057846634974</v>
      </c>
      <c r="BW413" s="535" t="s">
        <v>51</v>
      </c>
      <c r="BX413" s="502"/>
      <c r="BY413" s="797"/>
      <c r="BZ413" s="797"/>
      <c r="CA413" s="797"/>
      <c r="CB413" s="797"/>
      <c r="CC413" s="797"/>
      <c r="CD413" s="797"/>
      <c r="CE413" s="797"/>
      <c r="CF413" s="797"/>
      <c r="CG413" s="797"/>
      <c r="CH413" s="797"/>
      <c r="CI413" s="797"/>
      <c r="CJ413" s="797"/>
      <c r="CK413" s="797"/>
      <c r="CL413" s="797"/>
      <c r="CM413" s="797"/>
      <c r="CN413" s="797"/>
      <c r="CO413" s="797"/>
      <c r="CP413" s="797"/>
      <c r="CQ413" s="797"/>
      <c r="CR413" s="797"/>
      <c r="CS413" s="797"/>
      <c r="CT413" s="797"/>
      <c r="CU413" s="797"/>
    </row>
    <row r="414" spans="1:99" x14ac:dyDescent="0.25">
      <c r="A414" s="163">
        <f>(A413-A412)+A408-A410</f>
        <v>-49.279528151652727</v>
      </c>
      <c r="B414" s="163">
        <f>(A414*-1)+A415</f>
        <v>20.382431735146383</v>
      </c>
      <c r="C414" s="163">
        <f>(B414/2)+A409</f>
        <v>13.544318239999654</v>
      </c>
      <c r="D414" s="163">
        <f>(C422+C415+B421+B414+A409)*-1</f>
        <v>7.7912807067571457</v>
      </c>
      <c r="E414" s="163">
        <f>(C414*A409)*D414</f>
        <v>353.84479692592902</v>
      </c>
      <c r="F414" s="152">
        <f>(E414*A409)</f>
        <v>1186.4778280430926</v>
      </c>
      <c r="G414" s="152">
        <f>(F414+E414)</f>
        <v>1540.3226249690215</v>
      </c>
      <c r="H414" s="161"/>
      <c r="I414" s="161"/>
      <c r="J414" s="161"/>
      <c r="K414" s="161"/>
      <c r="L414" s="161"/>
      <c r="M414" s="161"/>
      <c r="N414" s="161"/>
      <c r="O414" s="161">
        <v>785.5</v>
      </c>
      <c r="P414" s="152">
        <f>IF(N412&gt;-1,1,-1)</f>
        <v>-1</v>
      </c>
      <c r="Q414" s="191">
        <f>N346</f>
        <v>0.32600000000000001</v>
      </c>
      <c r="R414" s="192">
        <f>(F423+H418)/2</f>
        <v>2705.7293973698015</v>
      </c>
      <c r="S414" s="151"/>
      <c r="T414" s="163">
        <f>(T413-T412)+T408-T410</f>
        <v>-43.157413060600106</v>
      </c>
      <c r="U414" s="163">
        <f>(T414*-1)+T415</f>
        <v>18.198509276060776</v>
      </c>
      <c r="V414" s="163">
        <f>(U414/2)+T409</f>
        <v>13.776974897134053</v>
      </c>
      <c r="W414" s="163">
        <f>(V422+V415+U421+U414+T409)*-1</f>
        <v>7.7984129123700647</v>
      </c>
      <c r="X414" s="163">
        <f>(V414*T409)*W414</f>
        <v>502.56743016701165</v>
      </c>
      <c r="Y414" s="152">
        <f>(X414*T409)</f>
        <v>2350.8698496578972</v>
      </c>
      <c r="Z414" s="152">
        <f>(Y414+X414)</f>
        <v>2853.4372798249087</v>
      </c>
      <c r="AA414" s="161"/>
      <c r="AB414" s="161"/>
      <c r="AC414" s="161"/>
      <c r="AD414" s="161"/>
      <c r="AE414" s="161"/>
      <c r="AF414" s="161"/>
      <c r="AG414" s="161"/>
      <c r="AH414" s="161">
        <v>785.5</v>
      </c>
      <c r="AI414" s="152">
        <f>IF(AG412&gt;-1,1,-1)</f>
        <v>-1</v>
      </c>
      <c r="AJ414" s="191">
        <f>H346</f>
        <v>0.1797</v>
      </c>
      <c r="AK414" s="192">
        <f>(Y423+AA418)/2</f>
        <v>2776.2613333936647</v>
      </c>
      <c r="AL414" s="151"/>
      <c r="AM414" s="514">
        <f>(AM413-AM412)+AM408-AM410</f>
        <v>-50.807458653645625</v>
      </c>
      <c r="AN414" s="514">
        <f>(AM414*-1)+AM415</f>
        <v>20.77639698759242</v>
      </c>
      <c r="AO414" s="514">
        <f>(AN414/2)+AM409</f>
        <v>12.655266124467062</v>
      </c>
      <c r="AP414" s="514">
        <f>(AO422+AO415+AN421+AN414+AM409)*-1</f>
        <v>7.3664529116131519</v>
      </c>
      <c r="AQ414" s="514">
        <f>(AO414*AM409)*AP414</f>
        <v>211.34606948112014</v>
      </c>
      <c r="AR414" s="503">
        <f>(AQ414*AM409)</f>
        <v>479.13583299016017</v>
      </c>
      <c r="AS414" s="503">
        <f>(AR414+AQ414)</f>
        <v>690.48190247128036</v>
      </c>
      <c r="AT414" s="512"/>
      <c r="AU414" s="512"/>
      <c r="AV414" s="512"/>
      <c r="AW414" s="512"/>
      <c r="AX414" s="512"/>
      <c r="AY414" s="512"/>
      <c r="AZ414" s="512"/>
      <c r="BA414" s="512">
        <v>785.5</v>
      </c>
      <c r="BB414" s="503">
        <f>IF(AZ412&gt;-1,1,-1)</f>
        <v>-1</v>
      </c>
      <c r="BC414" s="542">
        <f>AZ346</f>
        <v>0.32600000000000001</v>
      </c>
      <c r="BD414" s="543">
        <f>(AR423+AT418)/2</f>
        <v>1904.8895340981085</v>
      </c>
      <c r="BE414" s="502"/>
      <c r="BF414" s="514">
        <f>(BF413-BF412)+BF408-BF410</f>
        <v>-55.510927311730484</v>
      </c>
      <c r="BG414" s="514">
        <f>(BF414*-1)+BF415</f>
        <v>22.360336794422722</v>
      </c>
      <c r="BH414" s="514">
        <f>(BG414/2)+BF409</f>
        <v>11.959997745864001</v>
      </c>
      <c r="BI414" s="514">
        <f>(BH422+BH415+BG421+BG414+BF409)*-1</f>
        <v>7.0980157126531367</v>
      </c>
      <c r="BJ414" s="514">
        <f>(BH414*BF409)*BI414</f>
        <v>66.201469523111115</v>
      </c>
      <c r="BK414" s="503">
        <f>(BJ414*BF409)</f>
        <v>51.625848858055363</v>
      </c>
      <c r="BL414" s="503">
        <f>(BK414+BJ414)</f>
        <v>117.82731838116648</v>
      </c>
      <c r="BM414" s="512"/>
      <c r="BN414" s="512"/>
      <c r="BO414" s="512"/>
      <c r="BP414" s="512"/>
      <c r="BQ414" s="512"/>
      <c r="BR414" s="512"/>
      <c r="BS414" s="512"/>
      <c r="BT414" s="512">
        <v>785.5</v>
      </c>
      <c r="BU414" s="503">
        <f>IF(BS412&gt;-1,1,-1)</f>
        <v>1</v>
      </c>
      <c r="BV414" s="542">
        <f>AT346</f>
        <v>0.1797</v>
      </c>
      <c r="BW414" s="543">
        <f>(BK423+BM418)/2</f>
        <v>1877.3994473623065</v>
      </c>
      <c r="BX414" s="502"/>
      <c r="BY414" s="797"/>
      <c r="BZ414" s="797"/>
      <c r="CA414" s="797"/>
      <c r="CB414" s="797"/>
      <c r="CC414" s="797"/>
      <c r="CD414" s="797"/>
      <c r="CE414" s="797"/>
      <c r="CF414" s="797"/>
      <c r="CG414" s="797"/>
      <c r="CH414" s="797"/>
      <c r="CI414" s="797"/>
      <c r="CJ414" s="797"/>
      <c r="CK414" s="797"/>
      <c r="CL414" s="797"/>
      <c r="CM414" s="797"/>
      <c r="CN414" s="797"/>
      <c r="CO414" s="797"/>
      <c r="CP414" s="797"/>
      <c r="CQ414" s="797"/>
      <c r="CR414" s="797"/>
      <c r="CS414" s="797"/>
      <c r="CT414" s="797"/>
      <c r="CU414" s="797"/>
    </row>
    <row r="415" spans="1:99" x14ac:dyDescent="0.25">
      <c r="A415" s="163">
        <f>(A413-A412)+A408-A411</f>
        <v>-28.897096416506344</v>
      </c>
      <c r="B415" s="163">
        <f>A416+(A415*-1)+A414</f>
        <v>-98.559056303305454</v>
      </c>
      <c r="C415" s="154">
        <f>(B415/10)</f>
        <v>-9.855905630330545</v>
      </c>
      <c r="D415" s="154"/>
      <c r="E415" s="154"/>
      <c r="F415" s="161">
        <f>(Q421*-1)</f>
        <v>-53.725406375295634</v>
      </c>
      <c r="G415" s="161"/>
      <c r="H415" s="161"/>
      <c r="I415" s="161"/>
      <c r="J415" s="161"/>
      <c r="K415" s="161"/>
      <c r="L415" s="161"/>
      <c r="M415" s="161"/>
      <c r="N415" s="161"/>
      <c r="O415" s="161">
        <f>(H423/1000)*8.9</f>
        <v>1.9142120000000002</v>
      </c>
      <c r="P415" s="152">
        <f>(P417+O419)/2</f>
        <v>1287.4336874485384</v>
      </c>
      <c r="Q415" s="149"/>
      <c r="R415" s="192">
        <f>(P418+P417)/2</f>
        <v>1294.8582695606508</v>
      </c>
      <c r="S415" s="151"/>
      <c r="T415" s="163">
        <f>(T413-T412)+T408-T411</f>
        <v>-24.958903784539331</v>
      </c>
      <c r="U415" s="163">
        <f>T416+(T415*-1)+T414</f>
        <v>-86.314826121200213</v>
      </c>
      <c r="V415" s="154">
        <f>(U415/10)</f>
        <v>-8.6314826121200205</v>
      </c>
      <c r="W415" s="154"/>
      <c r="X415" s="154"/>
      <c r="Y415" s="161">
        <f>(AJ421*-1)</f>
        <v>-15.028505423792623</v>
      </c>
      <c r="Z415" s="161"/>
      <c r="AA415" s="161"/>
      <c r="AB415" s="161"/>
      <c r="AC415" s="161"/>
      <c r="AD415" s="161"/>
      <c r="AE415" s="161"/>
      <c r="AF415" s="161"/>
      <c r="AG415" s="161"/>
      <c r="AH415" s="161">
        <f>(AA423/1000)*8.9</f>
        <v>1.0551840000000001</v>
      </c>
      <c r="AI415" s="152">
        <f>(AI417+AH419)/2</f>
        <v>1284.2745780983764</v>
      </c>
      <c r="AJ415" s="149"/>
      <c r="AK415" s="192">
        <f>(AI418+AI417)/2</f>
        <v>1291.2370016527957</v>
      </c>
      <c r="AL415" s="151"/>
      <c r="AM415" s="514">
        <f>(AM413-AM412)+AM408-AM411</f>
        <v>-30.031061666053205</v>
      </c>
      <c r="AN415" s="514">
        <f>AM416+(AM415*-1)+AM414</f>
        <v>-101.61491730729125</v>
      </c>
      <c r="AO415" s="505">
        <f>(AN415/10)</f>
        <v>-10.161491730729125</v>
      </c>
      <c r="AP415" s="505"/>
      <c r="AQ415" s="505"/>
      <c r="AR415" s="512">
        <f>(BC421*-1)</f>
        <v>-4.0715248578934009</v>
      </c>
      <c r="AS415" s="512"/>
      <c r="AT415" s="512"/>
      <c r="AU415" s="512"/>
      <c r="AV415" s="512"/>
      <c r="AW415" s="512"/>
      <c r="AX415" s="512"/>
      <c r="AY415" s="512"/>
      <c r="AZ415" s="512"/>
      <c r="BA415" s="512">
        <f>(AT423/1000)*8.9</f>
        <v>1.521811</v>
      </c>
      <c r="BB415" s="503">
        <f>(BB417+BA419)/2</f>
        <v>1025.8979616944375</v>
      </c>
      <c r="BC415" s="500"/>
      <c r="BD415" s="543">
        <f>(BB418+BB417)/2</f>
        <v>1031.8727691103479</v>
      </c>
      <c r="BE415" s="502"/>
      <c r="BF415" s="514">
        <f>(BF413-BF412)+BF408-BF411</f>
        <v>-33.150590517307762</v>
      </c>
      <c r="BG415" s="514">
        <f>BF416+(BF415*-1)+BF414</f>
        <v>-111.02185462346097</v>
      </c>
      <c r="BH415" s="505">
        <f>(BG415/10)</f>
        <v>-11.102185462346096</v>
      </c>
      <c r="BI415" s="505"/>
      <c r="BJ415" s="505"/>
      <c r="BK415" s="512">
        <f>(BV421*-1)</f>
        <v>-8.963645477153008E-2</v>
      </c>
      <c r="BL415" s="512"/>
      <c r="BM415" s="512"/>
      <c r="BN415" s="512"/>
      <c r="BO415" s="512"/>
      <c r="BP415" s="512"/>
      <c r="BQ415" s="512"/>
      <c r="BR415" s="512"/>
      <c r="BS415" s="512"/>
      <c r="BT415" s="512">
        <f>(BM423/1000)*8.9</f>
        <v>0.83891400000000016</v>
      </c>
      <c r="BU415" s="503">
        <f>(BU417+BT419)/2</f>
        <v>1028.63746127986</v>
      </c>
      <c r="BV415" s="500"/>
      <c r="BW415" s="543">
        <f>(BU418+BU417)/2</f>
        <v>1034.8590352349024</v>
      </c>
      <c r="BX415" s="502"/>
      <c r="BY415" s="797"/>
      <c r="BZ415" s="797"/>
      <c r="CA415" s="797"/>
      <c r="CB415" s="797"/>
      <c r="CC415" s="797"/>
      <c r="CD415" s="797"/>
      <c r="CE415" s="797"/>
      <c r="CF415" s="797"/>
      <c r="CG415" s="797"/>
      <c r="CH415" s="797"/>
      <c r="CI415" s="797"/>
      <c r="CJ415" s="797"/>
      <c r="CK415" s="797"/>
      <c r="CL415" s="797"/>
      <c r="CM415" s="797"/>
      <c r="CN415" s="797"/>
      <c r="CO415" s="797"/>
      <c r="CP415" s="797"/>
      <c r="CQ415" s="797"/>
      <c r="CR415" s="797"/>
      <c r="CS415" s="797"/>
      <c r="CT415" s="797"/>
      <c r="CU415" s="797"/>
    </row>
    <row r="416" spans="1:99" x14ac:dyDescent="0.25">
      <c r="A416" s="163">
        <f>(A415+A414)</f>
        <v>-78.17662456815907</v>
      </c>
      <c r="B416" s="154"/>
      <c r="C416" s="154">
        <f>((F416+E416*-1)+E420)*10-A409+O416*-1-C412*111</f>
        <v>10.58425448163492</v>
      </c>
      <c r="D416" s="154"/>
      <c r="E416" s="154">
        <f>(E420+O416+F416)</f>
        <v>-1.895787191788223E-2</v>
      </c>
      <c r="F416" s="161">
        <f>(O416*E420)</f>
        <v>5.8785292382683147</v>
      </c>
      <c r="G416" s="161"/>
      <c r="H416" s="191">
        <f>(P417+H417)/2</f>
        <v>982.53177414576203</v>
      </c>
      <c r="I416" s="161"/>
      <c r="J416" s="161"/>
      <c r="K416" s="161"/>
      <c r="L416" s="161"/>
      <c r="M416" s="161"/>
      <c r="N416" s="161">
        <f>(A412-A408)-(A408-B413)</f>
        <v>16.158076582039854</v>
      </c>
      <c r="O416" s="152">
        <f>(P416+A409+C412*10)</f>
        <v>-1.2704827543130854</v>
      </c>
      <c r="P416" s="161">
        <f>E420</f>
        <v>-4.6270043558731118</v>
      </c>
      <c r="Q416" s="162">
        <f>(Q412*Q411*10)</f>
        <v>-42.41516620465945</v>
      </c>
      <c r="R416" s="200">
        <f>(P427+O427+P429+O429+N429+P428+O428+N428+H430+F430+E430+E429+F429+H429+H428+F428+E428+E427+F427+H427)</f>
        <v>0</v>
      </c>
      <c r="S416" s="151"/>
      <c r="T416" s="163">
        <f>(T415+T414)</f>
        <v>-68.116316845139437</v>
      </c>
      <c r="U416" s="154"/>
      <c r="V416" s="154">
        <f>((Y416+X416*-1)+X420)*10-T409+AH416*-1-V412*111</f>
        <v>7.7939467943883125</v>
      </c>
      <c r="W416" s="154"/>
      <c r="X416" s="154">
        <f>(X420+AH416+Y416)</f>
        <v>-0.34704199731130014</v>
      </c>
      <c r="Y416" s="161">
        <f>(AH416*X420)</f>
        <v>6.603690650992303</v>
      </c>
      <c r="Z416" s="161"/>
      <c r="AA416" s="191">
        <f>(AI417+AA417)/2</f>
        <v>979.12220675452534</v>
      </c>
      <c r="AB416" s="161"/>
      <c r="AC416" s="161"/>
      <c r="AD416" s="161"/>
      <c r="AE416" s="161"/>
      <c r="AF416" s="161"/>
      <c r="AG416" s="161">
        <f>(T412-T408)-(T408-U413)</f>
        <v>13.584835487001357</v>
      </c>
      <c r="AH416" s="152">
        <f>(AI416+T409+V412*10)</f>
        <v>-1.135605559446123</v>
      </c>
      <c r="AI416" s="161">
        <f>X420</f>
        <v>-5.81512708885748</v>
      </c>
      <c r="AJ416" s="162">
        <f>(AJ412*AJ411*10)</f>
        <v>-45.896164211227827</v>
      </c>
      <c r="AK416" s="200">
        <f>(AI427+AH427+AI429+AH429+AG429+AI428+AH428+AG428+AA430+Y430+X430+X429+Y429+AA429+AA428+Y428+X428+X427+Y427+AA427)</f>
        <v>0</v>
      </c>
      <c r="AL416" s="151"/>
      <c r="AM416" s="514">
        <f>(AM415+AM414)</f>
        <v>-80.83852031969883</v>
      </c>
      <c r="AN416" s="505"/>
      <c r="AO416" s="505">
        <f>((AR416+AQ416*-1)+AQ420)*10-AM409+BA416*-1-AO412*111</f>
        <v>11.836509683546684</v>
      </c>
      <c r="AP416" s="505"/>
      <c r="AQ416" s="505">
        <f>(AQ420+BA416+AR416)</f>
        <v>-0.25502593615668623</v>
      </c>
      <c r="AR416" s="512">
        <f>(BA416*AQ420)</f>
        <v>4.6009376702369034</v>
      </c>
      <c r="AS416" s="512"/>
      <c r="AT416" s="542">
        <f>(BB417+AT417)/2</f>
        <v>783.11720834778453</v>
      </c>
      <c r="AU416" s="512"/>
      <c r="AV416" s="512"/>
      <c r="AW416" s="512"/>
      <c r="AX416" s="512"/>
      <c r="AY416" s="512"/>
      <c r="AZ416" s="512">
        <f>(AM412-AM408)-(AM408-AN413)</f>
        <v>17.045813548807928</v>
      </c>
      <c r="BA416" s="503">
        <f>(BB416+AM409+AO412*10)</f>
        <v>-1.2903711639981907</v>
      </c>
      <c r="BB416" s="512">
        <f>AQ420</f>
        <v>-3.5655924423953991</v>
      </c>
      <c r="BC416" s="513">
        <f>(BC412*BC411*10)</f>
        <v>-26.413542916356842</v>
      </c>
      <c r="BD416" s="550">
        <f>(BB427+BA427+BB429+BA429+AZ429+BB428+BA428+AZ428+AT430+AR430+AQ430+AQ429+AR429+AT429+AT428+AR428+AQ428+AQ427+AR427+AT427)</f>
        <v>0</v>
      </c>
      <c r="BE416" s="502"/>
      <c r="BF416" s="514">
        <f>(BF415+BF414)</f>
        <v>-88.661517829038246</v>
      </c>
      <c r="BG416" s="505"/>
      <c r="BH416" s="505">
        <f>((BK416+BJ416*-1)+BJ420)*10-BF409+BT416*-1-BH412*111</f>
        <v>11.883837526789014</v>
      </c>
      <c r="BI416" s="505"/>
      <c r="BJ416" s="505">
        <f>(BJ420+BT416+BK416)</f>
        <v>-0.67630053200836526</v>
      </c>
      <c r="BK416" s="512">
        <f>(BT416*BJ420)</f>
        <v>2.7759888041496241</v>
      </c>
      <c r="BL416" s="512"/>
      <c r="BM416" s="542">
        <f>(BU417+BM417)/2</f>
        <v>785.72738912577859</v>
      </c>
      <c r="BN416" s="512"/>
      <c r="BO416" s="512"/>
      <c r="BP416" s="512"/>
      <c r="BQ416" s="512"/>
      <c r="BR416" s="512"/>
      <c r="BS416" s="512">
        <f>(BF412-BF408)-(BF408-BG413)</f>
        <v>19.175380020793568</v>
      </c>
      <c r="BT416" s="503">
        <f>(BU416+BF409+BH412*10)</f>
        <v>-1.2749389378539466</v>
      </c>
      <c r="BU416" s="512">
        <f>BJ420</f>
        <v>-2.1773503983040428</v>
      </c>
      <c r="BV416" s="513">
        <f>(BV412*BV411*10)</f>
        <v>-9.6239864405725761</v>
      </c>
      <c r="BW416" s="550">
        <f>(BU427+BT427+BU429+BT429+BS429+BU428+BT428+BS428+BM430+BK430+BJ430+BJ429+BK429+BM429+BM428+BK428+BJ428+BJ427+BK427+BM427)</f>
        <v>6</v>
      </c>
      <c r="BX416" s="502"/>
      <c r="BY416" s="797"/>
      <c r="BZ416" s="797"/>
      <c r="CA416" s="797"/>
      <c r="CB416" s="797"/>
      <c r="CC416" s="797"/>
      <c r="CD416" s="797"/>
      <c r="CE416" s="797"/>
      <c r="CF416" s="797"/>
      <c r="CG416" s="797"/>
      <c r="CH416" s="797"/>
      <c r="CI416" s="797"/>
      <c r="CJ416" s="797"/>
      <c r="CK416" s="797"/>
      <c r="CL416" s="797"/>
      <c r="CM416" s="797"/>
      <c r="CN416" s="797"/>
      <c r="CO416" s="797"/>
      <c r="CP416" s="797"/>
      <c r="CQ416" s="797"/>
      <c r="CR416" s="797"/>
      <c r="CS416" s="797"/>
      <c r="CT416" s="797"/>
      <c r="CU416" s="797"/>
    </row>
    <row r="417" spans="1:99" x14ac:dyDescent="0.25">
      <c r="A417" s="163">
        <f>(A408+A416)</f>
        <v>148.21814946745914</v>
      </c>
      <c r="B417" s="154">
        <f>(A408+A417)/2</f>
        <v>187.30646175153868</v>
      </c>
      <c r="C417" s="154">
        <f>(E413-A408)-(A408-B417)</f>
        <v>-39.926587877186137</v>
      </c>
      <c r="D417" s="163">
        <f>(B413+C413)/2</f>
        <v>219.62261491561839</v>
      </c>
      <c r="E417" s="163">
        <f>(A412+A418)</f>
        <v>453.62782366434305</v>
      </c>
      <c r="F417" s="191">
        <f>(G414*2)-G421</f>
        <v>2924.6358197638265</v>
      </c>
      <c r="G417" s="191">
        <f>(A409*F417)</f>
        <v>9806.6033057334989</v>
      </c>
      <c r="H417" s="191">
        <f>(N419+P417)/2</f>
        <v>655.35611450664862</v>
      </c>
      <c r="I417" s="191"/>
      <c r="J417" s="191"/>
      <c r="K417" s="191"/>
      <c r="L417" s="191"/>
      <c r="M417" s="191"/>
      <c r="N417" s="201">
        <f>(O417+O418)/2</f>
        <v>1329.4903028894682</v>
      </c>
      <c r="O417" s="205">
        <f>(A411+C413)/2*Q422/Q414</f>
        <v>1257.7353590000889</v>
      </c>
      <c r="P417" s="206">
        <f>B410*Q422/Q414</f>
        <v>1309.7074337848755</v>
      </c>
      <c r="Q417" s="149">
        <f>(A413+B410)/2</f>
        <v>215.36528257493842</v>
      </c>
      <c r="R417" s="152"/>
      <c r="S417" s="151"/>
      <c r="T417" s="163">
        <f>(T408+T416)</f>
        <v>147.43852894119942</v>
      </c>
      <c r="U417" s="154">
        <f>(T408+T417)/2</f>
        <v>181.49668736376913</v>
      </c>
      <c r="V417" s="154">
        <f>(X413-T408)-(T408-U417)</f>
        <v>-35.227588487345656</v>
      </c>
      <c r="W417" s="163">
        <f>(U413+V413)/2</f>
        <v>208.66635833777184</v>
      </c>
      <c r="X417" s="163">
        <f>(T412+T418)</f>
        <v>432.27912163745361</v>
      </c>
      <c r="Y417" s="191">
        <f>(Z414*2)-Z421</f>
        <v>5551.6376177962484</v>
      </c>
      <c r="Z417" s="191">
        <f>(T409*Y417)</f>
        <v>25969.007755967523</v>
      </c>
      <c r="AA417" s="191">
        <f>(AG419+AI417)/2</f>
        <v>653.08256474741597</v>
      </c>
      <c r="AB417" s="191"/>
      <c r="AC417" s="191"/>
      <c r="AD417" s="191"/>
      <c r="AE417" s="191"/>
      <c r="AF417" s="191"/>
      <c r="AG417" s="201">
        <f>(AH417+AH418)/2</f>
        <v>1324.3575195999001</v>
      </c>
      <c r="AH417" s="205">
        <f>(T411+V413)/2*AJ422/AJ414</f>
        <v>1256.4248838806982</v>
      </c>
      <c r="AI417" s="206">
        <f>U410*AJ422/AJ414</f>
        <v>1305.1618487616347</v>
      </c>
      <c r="AJ417" s="149">
        <f>(T413+U410)/2</f>
        <v>205.28616108353256</v>
      </c>
      <c r="AK417" s="152"/>
      <c r="AL417" s="151"/>
      <c r="AM417" s="514">
        <f>(AM408+AM416)</f>
        <v>147.15241160573459</v>
      </c>
      <c r="AN417" s="505">
        <f>(AM408+AM417)/2</f>
        <v>187.571671765584</v>
      </c>
      <c r="AO417" s="505">
        <f>(AQ413-AM408)-(AM408-AN417)</f>
        <v>-40.986027067517142</v>
      </c>
      <c r="AP417" s="514">
        <f>(AN413+AO413)/2</f>
        <v>221.66329886319988</v>
      </c>
      <c r="AQ417" s="514">
        <f>(AM412+AM418)</f>
        <v>456.5486307585345</v>
      </c>
      <c r="AR417" s="542">
        <f>(AS414*2)-AS421</f>
        <v>1226.444940425213</v>
      </c>
      <c r="AS417" s="542">
        <f>(AM409*AR417)</f>
        <v>2780.4336252380413</v>
      </c>
      <c r="AT417" s="542">
        <f>(AZ419+BB417)/2</f>
        <v>522.41203275340047</v>
      </c>
      <c r="AU417" s="542"/>
      <c r="AV417" s="542"/>
      <c r="AW417" s="542"/>
      <c r="AX417" s="542"/>
      <c r="AY417" s="542"/>
      <c r="AZ417" s="551">
        <f>(BA417+BA418)/2</f>
        <v>1059.4113582806422</v>
      </c>
      <c r="BA417" s="554">
        <f>(AM411+AO413)/2*BC422/BC414</f>
        <v>1001.998732030796</v>
      </c>
      <c r="BB417" s="555">
        <f>AN410*BC422/BC414</f>
        <v>1043.8223839421687</v>
      </c>
      <c r="BC417" s="500">
        <f>(AM413+AN410)/2</f>
        <v>217.03596652396948</v>
      </c>
      <c r="BD417" s="503"/>
      <c r="BE417" s="502"/>
      <c r="BF417" s="514">
        <f>(BF408+BF416)</f>
        <v>146.97864973423083</v>
      </c>
      <c r="BG417" s="505">
        <f>(BF408+BF417)/2</f>
        <v>191.30940864874995</v>
      </c>
      <c r="BH417" s="505">
        <f>(BJ413-BF408)-(BF408-BG417)</f>
        <v>-44.525716251682269</v>
      </c>
      <c r="BI417" s="514">
        <f>(BG413+BH413)/2</f>
        <v>229.66016869033706</v>
      </c>
      <c r="BJ417" s="514">
        <f>(BF412+BF418)</f>
        <v>471.47529246370129</v>
      </c>
      <c r="BK417" s="542">
        <f>(BL414*2)-BL421</f>
        <v>81.577971315448991</v>
      </c>
      <c r="BL417" s="542">
        <f>(BF409*BK417)</f>
        <v>63.616896235330373</v>
      </c>
      <c r="BM417" s="542">
        <f>(BS419+BU417)/2</f>
        <v>524.15259510656983</v>
      </c>
      <c r="BN417" s="542"/>
      <c r="BO417" s="542"/>
      <c r="BP417" s="542"/>
      <c r="BQ417" s="542"/>
      <c r="BR417" s="542"/>
      <c r="BS417" s="551">
        <f>(BT417+BT418)/2</f>
        <v>1063.0730989309388</v>
      </c>
      <c r="BT417" s="554">
        <f>(BF411+BH413)/2*BV422/BV414</f>
        <v>1003.7511654596898</v>
      </c>
      <c r="BU417" s="555">
        <f>BG410*BV422/BV414</f>
        <v>1047.3021831449873</v>
      </c>
      <c r="BV417" s="500">
        <f>(BF413+BG410)/2</f>
        <v>224.26504182889454</v>
      </c>
      <c r="BW417" s="503"/>
      <c r="BX417" s="502"/>
      <c r="BY417" s="797"/>
      <c r="BZ417" s="797"/>
      <c r="CA417" s="797"/>
      <c r="CB417" s="797"/>
      <c r="CC417" s="797"/>
      <c r="CD417" s="797"/>
      <c r="CE417" s="797"/>
      <c r="CF417" s="797"/>
      <c r="CG417" s="797"/>
      <c r="CH417" s="797"/>
      <c r="CI417" s="797"/>
      <c r="CJ417" s="797"/>
      <c r="CK417" s="797"/>
      <c r="CL417" s="797"/>
      <c r="CM417" s="797"/>
      <c r="CN417" s="797"/>
      <c r="CO417" s="797"/>
      <c r="CP417" s="797"/>
      <c r="CQ417" s="797"/>
      <c r="CR417" s="797"/>
      <c r="CS417" s="797"/>
      <c r="CT417" s="797"/>
      <c r="CU417" s="797"/>
    </row>
    <row r="418" spans="1:99" x14ac:dyDescent="0.25">
      <c r="A418" s="163">
        <f>((A413+A412+A411+A410)/4-A413-A408)*-1</f>
        <v>206.85061789357843</v>
      </c>
      <c r="B418" s="154">
        <f>(B413+C413)/2</f>
        <v>219.62261491561839</v>
      </c>
      <c r="C418" s="154">
        <f>(E420+A409)</f>
        <v>-1.273901983446649</v>
      </c>
      <c r="D418" s="163">
        <f>(A420+D419+A412+D419)/2</f>
        <v>382.41363586247491</v>
      </c>
      <c r="E418" s="163">
        <f>(A413+D419+A412)/3</f>
        <v>202.86628033327213</v>
      </c>
      <c r="F418" s="191">
        <f>(O418+P417)/2</f>
        <v>1355.4763402818617</v>
      </c>
      <c r="G418" s="149"/>
      <c r="H418" s="191">
        <f>(O418+P417+N417)/3</f>
        <v>1346.8143278177306</v>
      </c>
      <c r="I418" s="191"/>
      <c r="J418" s="191"/>
      <c r="K418" s="191"/>
      <c r="L418" s="191"/>
      <c r="M418" s="191"/>
      <c r="N418" s="207">
        <f>((A418+A412)/2)*Q422/Q414</f>
        <v>1321.9215720279935</v>
      </c>
      <c r="O418" s="212">
        <f>((A419+A410)/2)*Q422/Q414</f>
        <v>1401.2452467788476</v>
      </c>
      <c r="P418" s="213">
        <f>B409*Q422/Q414</f>
        <v>1280.009105336426</v>
      </c>
      <c r="Q418" s="162">
        <f>A409+E420</f>
        <v>-1.273901983446649</v>
      </c>
      <c r="R418" s="152"/>
      <c r="S418" s="151"/>
      <c r="T418" s="163">
        <f>((T413+T412+T411+T410)/4-T413-T408)*-1</f>
        <v>198.52576657505401</v>
      </c>
      <c r="U418" s="154">
        <f>(U413+V413)/2</f>
        <v>208.66635833777184</v>
      </c>
      <c r="V418" s="154">
        <f>(X420+T409)</f>
        <v>-1.1374068297538145</v>
      </c>
      <c r="W418" s="163">
        <f>(T420+W419+T412+W419)/2</f>
        <v>366.70463275074843</v>
      </c>
      <c r="X418" s="163">
        <f>(T413+W419+T412)/3</f>
        <v>193.98904034029775</v>
      </c>
      <c r="Y418" s="191">
        <f>(AH418+AI417)/2</f>
        <v>1348.7260020403683</v>
      </c>
      <c r="Z418" s="149"/>
      <c r="AA418" s="191">
        <f>(AH418+AI417+AG417)/3</f>
        <v>1340.6031745602122</v>
      </c>
      <c r="AB418" s="191"/>
      <c r="AC418" s="191"/>
      <c r="AD418" s="191"/>
      <c r="AE418" s="191"/>
      <c r="AF418" s="191"/>
      <c r="AG418" s="207">
        <f>((T418+T412)/2)*AJ422/AJ414</f>
        <v>1323.0579682838036</v>
      </c>
      <c r="AH418" s="212">
        <f>((T419+T410)/2)*AJ422/AJ414</f>
        <v>1392.290155319102</v>
      </c>
      <c r="AI418" s="213">
        <f>U409*AJ422/AJ414</f>
        <v>1277.3121545439567</v>
      </c>
      <c r="AJ418" s="162">
        <f>T409+X420</f>
        <v>-1.1374068297538145</v>
      </c>
      <c r="AK418" s="152"/>
      <c r="AL418" s="151"/>
      <c r="AM418" s="514">
        <f>((AM413+AM412+AM411+AM410)/4-AM413-AM408)*-1</f>
        <v>207.78130184550869</v>
      </c>
      <c r="AN418" s="505">
        <f>(AN413+AO413)/2</f>
        <v>221.66329886319988</v>
      </c>
      <c r="AO418" s="505">
        <f>(AQ420+AM409)</f>
        <v>-1.2985248117245476</v>
      </c>
      <c r="AP418" s="514">
        <f>(AM420+AP419+AM412+AP419)/2</f>
        <v>384.25342782111443</v>
      </c>
      <c r="AQ418" s="514">
        <f>(AM413+AP419+AM412)/3</f>
        <v>204.03422267321034</v>
      </c>
      <c r="AR418" s="542">
        <f>(BA418+BB417)/2</f>
        <v>1080.3231842363286</v>
      </c>
      <c r="AS418" s="500"/>
      <c r="AT418" s="542">
        <f>(BA418+BB417+AZ417)/3</f>
        <v>1073.3525755844332</v>
      </c>
      <c r="AU418" s="542"/>
      <c r="AV418" s="542"/>
      <c r="AW418" s="542"/>
      <c r="AX418" s="542"/>
      <c r="AY418" s="542"/>
      <c r="AZ418" s="556">
        <f>((AM418+AM412)/2)*BC422/BC414</f>
        <v>1050.3419419291438</v>
      </c>
      <c r="BA418" s="561">
        <f>((AM419+AM410)/2)*BC422/BC414</f>
        <v>1116.8239845304886</v>
      </c>
      <c r="BB418" s="562">
        <f>AN409*BC422/BC414</f>
        <v>1019.923154278527</v>
      </c>
      <c r="BC418" s="513">
        <f>AM409+AQ420</f>
        <v>-1.2985248117245476</v>
      </c>
      <c r="BD418" s="503"/>
      <c r="BE418" s="502"/>
      <c r="BF418" s="514">
        <f>((BF413+BF412+BF411+BF410)/4-BF413-BF408)*-1</f>
        <v>213.4747881060095</v>
      </c>
      <c r="BG418" s="505">
        <f>(BG413+BH413)/2</f>
        <v>229.66016869033706</v>
      </c>
      <c r="BH418" s="505">
        <f>(BJ420+BF409)</f>
        <v>-1.3975210496514023</v>
      </c>
      <c r="BI418" s="514">
        <f>(BF420+BI419+BF412+BI419)/2</f>
        <v>395.04842832579709</v>
      </c>
      <c r="BJ418" s="514">
        <f>(BF413+BI419+BF412)/3</f>
        <v>210.21328551825846</v>
      </c>
      <c r="BK418" s="542">
        <f>(BT418+BU417)/2</f>
        <v>1084.8486077735874</v>
      </c>
      <c r="BL418" s="500"/>
      <c r="BM418" s="542">
        <f>(BT418+BU417+BS417)/3</f>
        <v>1077.5901048260378</v>
      </c>
      <c r="BN418" s="542"/>
      <c r="BO418" s="542"/>
      <c r="BP418" s="542"/>
      <c r="BQ418" s="542"/>
      <c r="BR418" s="542"/>
      <c r="BS418" s="556">
        <f>((BF418+BF412)/2)*BV422/BV414</f>
        <v>1049.4719921284393</v>
      </c>
      <c r="BT418" s="561">
        <f>((BF419+BF410)/2)*BV422/BV414</f>
        <v>1122.3950324021878</v>
      </c>
      <c r="BU418" s="562">
        <f>BG409*BV422/BV414</f>
        <v>1022.4158873248173</v>
      </c>
      <c r="BV418" s="513">
        <f>BF409+BJ420</f>
        <v>-1.3975210496514023</v>
      </c>
      <c r="BW418" s="503"/>
      <c r="BX418" s="502"/>
      <c r="BY418" s="797"/>
      <c r="BZ418" s="797"/>
      <c r="CA418" s="797"/>
      <c r="CB418" s="797"/>
      <c r="CC418" s="797"/>
      <c r="CD418" s="797"/>
      <c r="CE418" s="797"/>
      <c r="CF418" s="797"/>
      <c r="CG418" s="797"/>
      <c r="CH418" s="797"/>
      <c r="CI418" s="797"/>
      <c r="CJ418" s="797"/>
      <c r="CK418" s="797"/>
      <c r="CL418" s="797"/>
      <c r="CM418" s="797"/>
      <c r="CN418" s="797"/>
      <c r="CO418" s="797"/>
      <c r="CP418" s="797"/>
      <c r="CQ418" s="797"/>
      <c r="CR418" s="797"/>
      <c r="CS418" s="797"/>
      <c r="CT418" s="797"/>
      <c r="CU418" s="797"/>
    </row>
    <row r="419" spans="1:99" x14ac:dyDescent="0.25">
      <c r="A419" s="163">
        <f>((A413+A412+A411+A410)/4-A413-A408*-1)</f>
        <v>245.93893017765799</v>
      </c>
      <c r="B419" s="154">
        <f>B410/2</f>
        <v>112.35911142470249</v>
      </c>
      <c r="C419" s="154">
        <f>(B409+C413)/2</f>
        <v>218.34871293217174</v>
      </c>
      <c r="D419" s="163">
        <f>(A418+A417+B419)/3</f>
        <v>155.80929292858002</v>
      </c>
      <c r="E419" s="163">
        <f>(A413+A412+B419)/3</f>
        <v>188.38288649864629</v>
      </c>
      <c r="F419" s="149">
        <f>E416+(C423*-1)-E416-E420</f>
        <v>4.2112588375080318</v>
      </c>
      <c r="G419" s="149"/>
      <c r="H419" s="191">
        <f>(P419+N419)/2</f>
        <v>459.80319848856033</v>
      </c>
      <c r="I419" s="149"/>
      <c r="J419" s="149"/>
      <c r="K419" s="149"/>
      <c r="L419" s="149"/>
      <c r="M419" s="149"/>
      <c r="N419" s="207">
        <f>((N418+N417)/2/Q413)</f>
        <v>1.0047952284216777</v>
      </c>
      <c r="O419" s="212">
        <f>((A411+D417)/2)*Q422/Q414</f>
        <v>1265.1599411122013</v>
      </c>
      <c r="P419" s="213">
        <f>((B419+E418)/2)*Q422/Q414</f>
        <v>918.60160174869895</v>
      </c>
      <c r="Q419" s="162">
        <f>(Q418*Q416/10)</f>
        <v>5.4032764356334946</v>
      </c>
      <c r="R419" s="152">
        <f>(R418+R417+F423)/3</f>
        <v>1354.8814889739576</v>
      </c>
      <c r="S419" s="151"/>
      <c r="T419" s="163">
        <f>((T413+T412+T411+T410)/4-T413-T408*-1)</f>
        <v>232.58392499762371</v>
      </c>
      <c r="U419" s="154">
        <f>U410/2</f>
        <v>106.60799282839352</v>
      </c>
      <c r="V419" s="154">
        <f>(U409+V413)/2</f>
        <v>207.52895150801805</v>
      </c>
      <c r="W419" s="163">
        <f>(T418+T417+U419)/3</f>
        <v>150.85742944821564</v>
      </c>
      <c r="X419" s="163">
        <f>(T413+T412+U419)/3</f>
        <v>179.2392281336904</v>
      </c>
      <c r="Y419" s="149">
        <f>X416+(V423*-1)-X416-X420</f>
        <v>5.6090738832457925</v>
      </c>
      <c r="Z419" s="149"/>
      <c r="AA419" s="191">
        <f>(AI419+AG419)/2</f>
        <v>460.5137946314295</v>
      </c>
      <c r="AB419" s="149"/>
      <c r="AC419" s="149"/>
      <c r="AD419" s="149"/>
      <c r="AE419" s="149"/>
      <c r="AF419" s="149"/>
      <c r="AG419" s="207">
        <f>((AG418+AG417)/2/AJ413)</f>
        <v>1.0032807331972904</v>
      </c>
      <c r="AH419" s="212">
        <f>((T411+W417)/2)*AJ422/AJ414</f>
        <v>1263.3873074351179</v>
      </c>
      <c r="AI419" s="213">
        <f>((U419+X418)/2)*AJ422/AJ414</f>
        <v>920.02430852966177</v>
      </c>
      <c r="AJ419" s="162">
        <f>(AJ418*AJ416/10)</f>
        <v>5.2202610633353128</v>
      </c>
      <c r="AK419" s="152">
        <f>(AK418+AK417+Y423)/3</f>
        <v>1403.9731640757057</v>
      </c>
      <c r="AL419" s="151"/>
      <c r="AM419" s="514">
        <f>((AM413+AM412+AM411+AM410)/4-AM413-AM408*-1)</f>
        <v>248.20056200535814</v>
      </c>
      <c r="AN419" s="505">
        <f>AN410/2</f>
        <v>113.42869905504899</v>
      </c>
      <c r="AO419" s="505">
        <f>(AN409+AO413)/2</f>
        <v>220.36477405147537</v>
      </c>
      <c r="AP419" s="514">
        <f>(AM418+AM417+AN419)/3</f>
        <v>156.1208041687641</v>
      </c>
      <c r="AQ419" s="514">
        <f>(AM413+AM412+AN419)/3</f>
        <v>189.80352096863862</v>
      </c>
      <c r="AR419" s="500">
        <f>AQ416+(AO423*-1)-AQ416-AQ420</f>
        <v>3.4021021259420827</v>
      </c>
      <c r="AS419" s="500"/>
      <c r="AT419" s="542">
        <f>(BB419+AZ419)/2</f>
        <v>365.68058203414813</v>
      </c>
      <c r="AU419" s="500"/>
      <c r="AV419" s="500"/>
      <c r="AW419" s="500"/>
      <c r="AX419" s="500"/>
      <c r="AY419" s="500"/>
      <c r="AZ419" s="556">
        <f>((AZ418+AZ417)/2/BC413)</f>
        <v>1.0016815646321433</v>
      </c>
      <c r="BA419" s="561">
        <f>((AM411+AP417)/2)*BC422/BC414</f>
        <v>1007.9735394467064</v>
      </c>
      <c r="BB419" s="562">
        <f>((AN419+AQ418)/2)*BC422/BC414</f>
        <v>730.35948250366414</v>
      </c>
      <c r="BC419" s="513">
        <f>(BC418*BC416/10)</f>
        <v>3.4298640842440529</v>
      </c>
      <c r="BD419" s="503">
        <f>(BD418+BD417+AR423)/3</f>
        <v>912.14216420392779</v>
      </c>
      <c r="BE419" s="502"/>
      <c r="BF419" s="514">
        <f>((BF413+BF412+BF411+BF410)/4-BF413-BF408*-1)</f>
        <v>257.80554702052865</v>
      </c>
      <c r="BG419" s="505">
        <f>BG410/2</f>
        <v>117.62512644447138</v>
      </c>
      <c r="BH419" s="505">
        <f>(BG409+BH413)/2</f>
        <v>228.26264764068566</v>
      </c>
      <c r="BI419" s="514">
        <f>(BF418+BF417+BG419)/3</f>
        <v>159.35952142823723</v>
      </c>
      <c r="BJ419" s="514">
        <f>(BF413+BF412+BG419)/3</f>
        <v>196.30182052366982</v>
      </c>
      <c r="BK419" s="500">
        <f>BJ416+(BH423*-1)-BJ416-BJ420</f>
        <v>2.0611879250930567</v>
      </c>
      <c r="BL419" s="500"/>
      <c r="BM419" s="542">
        <f>(BU419+BS419)/2</f>
        <v>365.37452742136594</v>
      </c>
      <c r="BN419" s="500"/>
      <c r="BO419" s="500"/>
      <c r="BP419" s="500"/>
      <c r="BQ419" s="500"/>
      <c r="BR419" s="500"/>
      <c r="BS419" s="556">
        <f>((BS418+BS417)/2/BV413)</f>
        <v>1.0030070681524208</v>
      </c>
      <c r="BT419" s="561">
        <f>((BF411+BI417)/2)*BV422/BV414</f>
        <v>1009.9727394147324</v>
      </c>
      <c r="BU419" s="562">
        <f>((BG419+BJ418)/2)*BV422/BV414</f>
        <v>729.74604777457944</v>
      </c>
      <c r="BV419" s="513">
        <f>(BV418*BV416/10)</f>
        <v>1.3449723632259851</v>
      </c>
      <c r="BW419" s="503">
        <f>(BW418+BW417+BK423)/3</f>
        <v>892.40292996619189</v>
      </c>
      <c r="BX419" s="502"/>
      <c r="BY419" s="797"/>
      <c r="BZ419" s="797"/>
      <c r="CA419" s="797"/>
      <c r="CB419" s="797"/>
      <c r="CC419" s="797"/>
      <c r="CD419" s="797"/>
      <c r="CE419" s="797"/>
      <c r="CF419" s="797"/>
      <c r="CG419" s="797"/>
      <c r="CH419" s="797"/>
      <c r="CI419" s="797"/>
      <c r="CJ419" s="797"/>
      <c r="CK419" s="797"/>
      <c r="CL419" s="797"/>
      <c r="CM419" s="797"/>
      <c r="CN419" s="797"/>
      <c r="CO419" s="797"/>
      <c r="CP419" s="797"/>
      <c r="CQ419" s="797"/>
      <c r="CR419" s="797"/>
      <c r="CS419" s="797"/>
      <c r="CT419" s="797"/>
      <c r="CU419" s="797"/>
    </row>
    <row r="420" spans="1:99" x14ac:dyDescent="0.25">
      <c r="A420" s="163">
        <f>(A413+A418)/2</f>
        <v>206.43148009702514</v>
      </c>
      <c r="B420" s="154">
        <f>(A410+B412)/2</f>
        <v>232.36163475008487</v>
      </c>
      <c r="C420" s="154">
        <f>(A409*C412)</f>
        <v>1.1465025319621629E-3</v>
      </c>
      <c r="D420" s="154">
        <f>(A410+B420)/2</f>
        <v>233.63553673353152</v>
      </c>
      <c r="E420" s="154">
        <f>(D420-A408)-(A408-A411)</f>
        <v>-4.6270043558731118</v>
      </c>
      <c r="F420" s="191">
        <f>(N420+H420)/2</f>
        <v>1374.6004528911776</v>
      </c>
      <c r="G420" s="149"/>
      <c r="H420" s="314">
        <f>A419*Q422/Q414</f>
        <v>1433.3864028759208</v>
      </c>
      <c r="I420" s="149"/>
      <c r="J420" s="149"/>
      <c r="K420" s="149"/>
      <c r="L420" s="149"/>
      <c r="M420" s="149"/>
      <c r="N420" s="207">
        <f>(N418+P417)/2</f>
        <v>1315.8145029064344</v>
      </c>
      <c r="O420" s="212">
        <f>((E417+A417)/2)*Q422/Q414</f>
        <v>1753.8456272245767</v>
      </c>
      <c r="P420" s="213">
        <f>((E418+E420/10)/2)*Q422/Q414</f>
        <v>589.82638313742507</v>
      </c>
      <c r="Q420" s="163">
        <f>(Q419+C423)</f>
        <v>5.8190219539985746</v>
      </c>
      <c r="R420" s="152"/>
      <c r="S420" s="151"/>
      <c r="T420" s="163">
        <f>(T413+T418)/2</f>
        <v>197.94105154266606</v>
      </c>
      <c r="U420" s="154">
        <f>(T410+U412)/2</f>
        <v>220.04042663530981</v>
      </c>
      <c r="V420" s="154">
        <f>(T409*V412)</f>
        <v>8.4258386104107985E-4</v>
      </c>
      <c r="W420" s="154">
        <f>(T410+U420)/2</f>
        <v>221.1778334650636</v>
      </c>
      <c r="X420" s="154">
        <f>(W420-T408)-(T408-T411)</f>
        <v>-5.81512708885748</v>
      </c>
      <c r="Y420" s="191">
        <f>(AG420+AA420)/2</f>
        <v>1368.9144909819665</v>
      </c>
      <c r="Z420" s="149"/>
      <c r="AA420" s="314">
        <f>T419*AJ422/AJ414</f>
        <v>1423.7190734412136</v>
      </c>
      <c r="AB420" s="149"/>
      <c r="AC420" s="149"/>
      <c r="AD420" s="149"/>
      <c r="AE420" s="149"/>
      <c r="AF420" s="149"/>
      <c r="AG420" s="207">
        <f>(AG418+AI417)/2</f>
        <v>1314.1099085227193</v>
      </c>
      <c r="AH420" s="212">
        <f>((X417+T417)/2)*AJ422/AJ414</f>
        <v>1774.3166823498009</v>
      </c>
      <c r="AI420" s="213">
        <f>((X418+X420/10)/2)*AJ422/AJ414</f>
        <v>591.95403559975853</v>
      </c>
      <c r="AJ420" s="163">
        <f>(AJ419+V423)</f>
        <v>5.4263142689470003</v>
      </c>
      <c r="AK420" s="152"/>
      <c r="AL420" s="151"/>
      <c r="AM420" s="514">
        <f>(AM413+AM418)/2</f>
        <v>207.49791839167483</v>
      </c>
      <c r="AN420" s="505">
        <f>(AM410+AN412)/2</f>
        <v>234.64854698044513</v>
      </c>
      <c r="AO420" s="505">
        <f>(AM409*AO412)</f>
        <v>1.8484870832316783E-3</v>
      </c>
      <c r="AP420" s="505">
        <f>(AM410+AN420)/2</f>
        <v>235.94707179216965</v>
      </c>
      <c r="AQ420" s="505">
        <f>(AP420-AM408)-(AM408-AM411)</f>
        <v>-3.5655924423953991</v>
      </c>
      <c r="AR420" s="542">
        <f>(AZ420+AT420)/2</f>
        <v>1094.5546443635908</v>
      </c>
      <c r="AS420" s="500"/>
      <c r="AT420" s="650">
        <f>AM419*BC422/BC414</f>
        <v>1142.0271257915251</v>
      </c>
      <c r="AU420" s="500"/>
      <c r="AV420" s="500"/>
      <c r="AW420" s="500"/>
      <c r="AX420" s="500"/>
      <c r="AY420" s="500"/>
      <c r="AZ420" s="556">
        <f>(AZ418+BB417)/2</f>
        <v>1047.0821629356562</v>
      </c>
      <c r="BA420" s="561">
        <f>((AQ417+AM417)/2)*BC422/BC414</f>
        <v>1388.8827661754658</v>
      </c>
      <c r="BB420" s="562">
        <f>((AQ418+AQ420/10)/2)*BC422/BC414</f>
        <v>468.5835815083683</v>
      </c>
      <c r="BC420" s="514">
        <f>(BC419+AO423)</f>
        <v>3.5933544006973692</v>
      </c>
      <c r="BD420" s="503"/>
      <c r="BE420" s="502"/>
      <c r="BF420" s="514">
        <f>(BF413+BF418)/2</f>
        <v>213.37730943742793</v>
      </c>
      <c r="BG420" s="505">
        <f>(BF410+BG412)/2</f>
        <v>243.63537918685128</v>
      </c>
      <c r="BH420" s="505">
        <f>(BF409*BH412)</f>
        <v>9.5593128399475008E-3</v>
      </c>
      <c r="BI420" s="505">
        <f>(BF410+BG420)/2</f>
        <v>245.03290023650271</v>
      </c>
      <c r="BJ420" s="505">
        <f>(BI420-BF408)-(BF408-BF411)</f>
        <v>-2.1773503983040428</v>
      </c>
      <c r="BK420" s="542">
        <f>(BS420+BM420)/2</f>
        <v>1098.0511888278807</v>
      </c>
      <c r="BL420" s="500"/>
      <c r="BM420" s="650">
        <f>BF419*BV422/BV414</f>
        <v>1147.7152900190481</v>
      </c>
      <c r="BN420" s="500"/>
      <c r="BO420" s="500"/>
      <c r="BP420" s="500"/>
      <c r="BQ420" s="500"/>
      <c r="BR420" s="500"/>
      <c r="BS420" s="556">
        <f>(BS418+BU417)/2</f>
        <v>1048.3870876367132</v>
      </c>
      <c r="BT420" s="561">
        <f>((BJ417+BF417)/2)*BV422/BV414</f>
        <v>1376.6364879197151</v>
      </c>
      <c r="BU420" s="562">
        <f>((BJ418+BJ420/10)/2)*BV422/BV414</f>
        <v>467.43583857190441</v>
      </c>
      <c r="BV420" s="514">
        <f>(BV419+BH423)</f>
        <v>1.4611348364369712</v>
      </c>
      <c r="BW420" s="503"/>
      <c r="BX420" s="502"/>
      <c r="BY420" s="797"/>
      <c r="BZ420" s="797"/>
      <c r="CA420" s="797"/>
      <c r="CB420" s="797"/>
      <c r="CC420" s="797"/>
      <c r="CD420" s="797"/>
      <c r="CE420" s="797"/>
      <c r="CF420" s="797"/>
      <c r="CG420" s="797"/>
      <c r="CH420" s="797"/>
      <c r="CI420" s="797"/>
      <c r="CJ420" s="797"/>
      <c r="CK420" s="797"/>
      <c r="CL420" s="797"/>
      <c r="CM420" s="797"/>
      <c r="CN420" s="797"/>
      <c r="CO420" s="797"/>
      <c r="CP420" s="797"/>
      <c r="CQ420" s="797"/>
      <c r="CR420" s="797"/>
      <c r="CS420" s="797"/>
      <c r="CT420" s="797"/>
      <c r="CU420" s="797"/>
    </row>
    <row r="421" spans="1:99" x14ac:dyDescent="0.25">
      <c r="A421" s="163">
        <f>(A409*-1)+A416</f>
        <v>-81.529726940585533</v>
      </c>
      <c r="B421" s="163">
        <f>(A422*-1)+A421</f>
        <v>-6.7062047448529256</v>
      </c>
      <c r="C421" s="163">
        <f>(B421/2)+A409</f>
        <v>0</v>
      </c>
      <c r="D421" s="154"/>
      <c r="E421" s="163">
        <f>(C421*A409)+D414</f>
        <v>7.7912807067571457</v>
      </c>
      <c r="F421" s="191">
        <f>A417*Q422/Q422</f>
        <v>148.21814946745914</v>
      </c>
      <c r="G421" s="191">
        <f>(E421+F421)</f>
        <v>156.00943017421628</v>
      </c>
      <c r="H421" s="149">
        <f>(O422+H419)/2</f>
        <v>1551.8231712722736</v>
      </c>
      <c r="I421" s="149"/>
      <c r="J421" s="149"/>
      <c r="K421" s="149"/>
      <c r="L421" s="149"/>
      <c r="M421" s="149"/>
      <c r="N421" s="421">
        <f>(O418+H418+O418)/3</f>
        <v>1383.1016071251422</v>
      </c>
      <c r="O421" s="212">
        <f>((B412+E420)/2)*Q422/Q414</f>
        <v>656.21927946611208</v>
      </c>
      <c r="P421" s="213">
        <f>D417*Q422/Q414</f>
        <v>1280.009105336426</v>
      </c>
      <c r="Q421" s="164">
        <f>((Q420*Q419*C423*-1)*Q422*Q411*Q412)*0.51</f>
        <v>53.725406375295634</v>
      </c>
      <c r="R421" s="152"/>
      <c r="S421" s="151"/>
      <c r="T421" s="163">
        <f>(T409*-1)+T416</f>
        <v>-72.794037104243102</v>
      </c>
      <c r="U421" s="163">
        <f>(T422*-1)+T421</f>
        <v>-9.355440518207331</v>
      </c>
      <c r="V421" s="163">
        <f>(U421/2)+T409</f>
        <v>0</v>
      </c>
      <c r="W421" s="154"/>
      <c r="X421" s="163">
        <f>(V421*T409)+W414</f>
        <v>7.7984129123700647</v>
      </c>
      <c r="Y421" s="191">
        <f>T417*AJ422/AJ422</f>
        <v>147.43852894119942</v>
      </c>
      <c r="Z421" s="191">
        <f>(X421+Y421)</f>
        <v>155.23694185356948</v>
      </c>
      <c r="AA421" s="149">
        <f>(AH422+AA419)/2</f>
        <v>1553.3148655995183</v>
      </c>
      <c r="AB421" s="149"/>
      <c r="AC421" s="149"/>
      <c r="AD421" s="149"/>
      <c r="AE421" s="149"/>
      <c r="AF421" s="149"/>
      <c r="AG421" s="421">
        <f>(AH418+AA418+AH418)/3</f>
        <v>1375.0611617328057</v>
      </c>
      <c r="AH421" s="212">
        <f>((U412+X420)/2)*AJ422/AJ414</f>
        <v>648.70766409471139</v>
      </c>
      <c r="AI421" s="213">
        <f>W417*AJ422/AJ414</f>
        <v>1277.3121545439567</v>
      </c>
      <c r="AJ421" s="164">
        <f>((AJ420*AJ419*V423*-1)*AJ422*AJ411*AJ412)*0.51</f>
        <v>15.028505423792623</v>
      </c>
      <c r="AK421" s="152"/>
      <c r="AL421" s="151"/>
      <c r="AM421" s="514">
        <f>(AM409*-1)+AM416</f>
        <v>-83.105587950369681</v>
      </c>
      <c r="AN421" s="514">
        <f>(AM422*-1)+AM421</f>
        <v>-4.534135261341703</v>
      </c>
      <c r="AO421" s="514">
        <f>(AN421/2)+AM409</f>
        <v>0</v>
      </c>
      <c r="AP421" s="505"/>
      <c r="AQ421" s="514">
        <f>(AO421*AM409)+AP414</f>
        <v>7.3664529116131519</v>
      </c>
      <c r="AR421" s="542">
        <f>AM417*BC422/BC422</f>
        <v>147.15241160573459</v>
      </c>
      <c r="AS421" s="542">
        <f>(AQ421+AR421)</f>
        <v>154.51886451734774</v>
      </c>
      <c r="AT421" s="500">
        <f>(BA422+AT419)/2</f>
        <v>1233.1822329462179</v>
      </c>
      <c r="AU421" s="500"/>
      <c r="AV421" s="500"/>
      <c r="AW421" s="500"/>
      <c r="AX421" s="500"/>
      <c r="AY421" s="500"/>
      <c r="AZ421" s="741">
        <f>(BA418+AT418+BA418)/3</f>
        <v>1102.3335148818035</v>
      </c>
      <c r="BA421" s="561">
        <f>((AN412+AQ420)/2)*BC422/BC414</f>
        <v>525.65775670536971</v>
      </c>
      <c r="BB421" s="562">
        <f>AP417*BC422/BC414</f>
        <v>1019.923154278527</v>
      </c>
      <c r="BC421" s="515">
        <f>((BC420*BC419*AO423*-1)*BC422*BC411*BC412)*0.51</f>
        <v>4.0715248578934009</v>
      </c>
      <c r="BD421" s="503"/>
      <c r="BE421" s="502"/>
      <c r="BF421" s="514">
        <f>(BF409*-1)+BF416</f>
        <v>-89.441347177690886</v>
      </c>
      <c r="BG421" s="514">
        <f>(BF422*-1)+BF421</f>
        <v>-1.5596586973052808</v>
      </c>
      <c r="BH421" s="514">
        <f>(BG421/2)+BF409</f>
        <v>0</v>
      </c>
      <c r="BI421" s="505"/>
      <c r="BJ421" s="514">
        <f>(BH421*BF409)+BI414</f>
        <v>7.0980157126531367</v>
      </c>
      <c r="BK421" s="542">
        <f>BF417*BV422/BV422</f>
        <v>146.97864973423083</v>
      </c>
      <c r="BL421" s="542">
        <f>(BJ421+BK421)</f>
        <v>154.07666544688396</v>
      </c>
      <c r="BM421" s="500">
        <f>(BT422+BM419)/2</f>
        <v>1232.1592558391224</v>
      </c>
      <c r="BN421" s="500"/>
      <c r="BO421" s="500"/>
      <c r="BP421" s="500"/>
      <c r="BQ421" s="500"/>
      <c r="BR421" s="500"/>
      <c r="BS421" s="741">
        <f>(BT418+BM418+BT418)/3</f>
        <v>1107.4600565434712</v>
      </c>
      <c r="BT421" s="561">
        <f>((BG412+BJ420)/2)*BV422/BV414</f>
        <v>531.24760531829588</v>
      </c>
      <c r="BU421" s="562">
        <f>BI417*BV422/BV414</f>
        <v>1022.4158873248173</v>
      </c>
      <c r="BV421" s="515">
        <f>((BV420*BV419*BH423*-1)*BV422*BV411*BV412)*0.51</f>
        <v>8.963645477153008E-2</v>
      </c>
      <c r="BW421" s="503"/>
      <c r="BX421" s="502"/>
      <c r="BY421" s="797"/>
      <c r="BZ421" s="797"/>
      <c r="CA421" s="797"/>
      <c r="CB421" s="797"/>
      <c r="CC421" s="797"/>
      <c r="CD421" s="797"/>
      <c r="CE421" s="797"/>
      <c r="CF421" s="797"/>
      <c r="CG421" s="797"/>
      <c r="CH421" s="797"/>
      <c r="CI421" s="797"/>
      <c r="CJ421" s="797"/>
      <c r="CK421" s="797"/>
      <c r="CL421" s="797"/>
      <c r="CM421" s="797"/>
      <c r="CN421" s="797"/>
      <c r="CO421" s="797"/>
      <c r="CP421" s="797"/>
      <c r="CQ421" s="797"/>
      <c r="CR421" s="797"/>
      <c r="CS421" s="797"/>
      <c r="CT421" s="797"/>
      <c r="CU421" s="797"/>
    </row>
    <row r="422" spans="1:99" x14ac:dyDescent="0.25">
      <c r="A422" s="163">
        <f>A409+A416</f>
        <v>-74.823522195732608</v>
      </c>
      <c r="B422" s="163">
        <f>(A423+(A421*-1)+A422)</f>
        <v>-149.64704439146522</v>
      </c>
      <c r="C422" s="154">
        <f>(B422/10)</f>
        <v>-14.964704439146521</v>
      </c>
      <c r="D422" s="154"/>
      <c r="E422" s="154">
        <f>((D418+B419)/2)*Q422</f>
        <v>470.03410992281846</v>
      </c>
      <c r="F422" s="149">
        <f>((E417+B419)/2)*Q422/Q414</f>
        <v>1649.3484304742124</v>
      </c>
      <c r="G422" s="149"/>
      <c r="H422" s="149">
        <f>(Q423/2)</f>
        <v>215.07503533383729</v>
      </c>
      <c r="I422" s="149"/>
      <c r="J422" s="149"/>
      <c r="K422" s="149"/>
      <c r="L422" s="149"/>
      <c r="M422" s="149"/>
      <c r="N422" s="191">
        <f>(Q423/2)/Q414</f>
        <v>659.7393721896849</v>
      </c>
      <c r="O422" s="423">
        <f>E417*Q422/Q414</f>
        <v>2643.8431440559871</v>
      </c>
      <c r="P422" s="213">
        <f>((B409+A412)/2)*Q422/Q414</f>
        <v>1359.140581754797</v>
      </c>
      <c r="Q422" s="322">
        <f>ROUND(O415,N423)</f>
        <v>1.9</v>
      </c>
      <c r="R422" s="247">
        <f>(P417+P419)/2</f>
        <v>1114.1545177667872</v>
      </c>
      <c r="S422" s="151"/>
      <c r="T422" s="163">
        <f>T409+T416</f>
        <v>-63.438596586035771</v>
      </c>
      <c r="U422" s="163">
        <f>(T423+(T421*-1)+T422)</f>
        <v>-126.87719317207154</v>
      </c>
      <c r="V422" s="154">
        <f>(U422/10)</f>
        <v>-12.687719317207154</v>
      </c>
      <c r="W422" s="154"/>
      <c r="X422" s="154">
        <f>((W418+U419)/2)*AJ422</f>
        <v>260.32194406852807</v>
      </c>
      <c r="Y422" s="149">
        <f>((X417+U419)/2)*AJ422/AJ414</f>
        <v>1649.3484304742126</v>
      </c>
      <c r="Z422" s="149"/>
      <c r="AA422" s="149">
        <f>(AJ423/2)</f>
        <v>118.55516518248638</v>
      </c>
      <c r="AB422" s="149"/>
      <c r="AC422" s="149"/>
      <c r="AD422" s="149"/>
      <c r="AE422" s="149"/>
      <c r="AF422" s="149"/>
      <c r="AG422" s="191">
        <f>(AJ423/2)/AJ414</f>
        <v>659.7393721896849</v>
      </c>
      <c r="AH422" s="423">
        <f>X417*AJ422/AJ414</f>
        <v>2646.1159365676072</v>
      </c>
      <c r="AI422" s="213">
        <f>((U409+T412)/2)*AJ422/AJ414</f>
        <v>1354.094837897019</v>
      </c>
      <c r="AJ422" s="322">
        <f>ROUND(AH415,AG423)</f>
        <v>1.1000000000000001</v>
      </c>
      <c r="AK422" s="247">
        <f>(AI417+AI419)/2</f>
        <v>1112.5930786456483</v>
      </c>
      <c r="AL422" s="151"/>
      <c r="AM422" s="514">
        <f>AM409+AM416</f>
        <v>-78.571452689027979</v>
      </c>
      <c r="AN422" s="514">
        <f>(AM423+(AM421*-1)+AM422)</f>
        <v>-157.14290537805596</v>
      </c>
      <c r="AO422" s="505">
        <f>(AN422/10)</f>
        <v>-15.714290537805596</v>
      </c>
      <c r="AP422" s="505"/>
      <c r="AQ422" s="505">
        <f>((AP418+AN419)/2)*BC422</f>
        <v>373.26159515712254</v>
      </c>
      <c r="AR422" s="500">
        <f>((AQ417+AN419)/2)*BC422/BC414</f>
        <v>1311.297537914686</v>
      </c>
      <c r="AS422" s="500"/>
      <c r="AT422" s="500">
        <f>(BC423/2)</f>
        <v>170.99319894407506</v>
      </c>
      <c r="AU422" s="500"/>
      <c r="AV422" s="500"/>
      <c r="AW422" s="500"/>
      <c r="AX422" s="500"/>
      <c r="AY422" s="500"/>
      <c r="AZ422" s="542">
        <f>(BC423/2)/BC414</f>
        <v>524.51901516587441</v>
      </c>
      <c r="BA422" s="743">
        <f>AQ417*BC422/BC414</f>
        <v>2100.6838838582876</v>
      </c>
      <c r="BB422" s="562">
        <f>((AN409+AM412)/2)*BC422/BC414</f>
        <v>1082.279051632421</v>
      </c>
      <c r="BC422" s="656">
        <f>ROUND(BA415,AZ423)</f>
        <v>1.5</v>
      </c>
      <c r="BD422" s="503">
        <f>(BB417+BB419)/2</f>
        <v>887.09093322291642</v>
      </c>
      <c r="BE422" s="502"/>
      <c r="BF422" s="514">
        <f>BF409+BF416</f>
        <v>-87.881688480385606</v>
      </c>
      <c r="BG422" s="514">
        <f>(BF423+(BF421*-1)+BF422)</f>
        <v>-175.76337696077121</v>
      </c>
      <c r="BH422" s="505">
        <f>(BG422/10)</f>
        <v>-17.576337696077122</v>
      </c>
      <c r="BI422" s="505"/>
      <c r="BJ422" s="505">
        <f>((BI418+BG419)/2)*BV422</f>
        <v>205.06942190810739</v>
      </c>
      <c r="BK422" s="500">
        <f>((BJ417+BG419)/2)*BV422/BV414</f>
        <v>1311.297537914686</v>
      </c>
      <c r="BL422" s="500"/>
      <c r="BM422" s="500">
        <f>(BV423/2)</f>
        <v>94.25606702530763</v>
      </c>
      <c r="BN422" s="500"/>
      <c r="BO422" s="500"/>
      <c r="BP422" s="500"/>
      <c r="BQ422" s="500"/>
      <c r="BR422" s="500"/>
      <c r="BS422" s="542">
        <f>(BV423/2)/BV414</f>
        <v>524.51901516587441</v>
      </c>
      <c r="BT422" s="743">
        <f>BJ417*BV422/BV414</f>
        <v>2098.9439842568786</v>
      </c>
      <c r="BU422" s="562">
        <f>((BG409+BF412)/2)*BV422/BV414</f>
        <v>1085.4995504686231</v>
      </c>
      <c r="BV422" s="656">
        <f>ROUND(BT415,BS423)</f>
        <v>0.8</v>
      </c>
      <c r="BW422" s="503">
        <f>(BU417+BU419)/2</f>
        <v>888.52411545978339</v>
      </c>
      <c r="BX422" s="502"/>
      <c r="BY422" s="797"/>
      <c r="BZ422" s="797"/>
      <c r="CA422" s="797"/>
      <c r="CB422" s="797"/>
      <c r="CC422" s="797"/>
      <c r="CD422" s="797"/>
      <c r="CE422" s="797"/>
      <c r="CF422" s="797"/>
      <c r="CG422" s="797"/>
      <c r="CH422" s="797"/>
      <c r="CI422" s="797"/>
      <c r="CJ422" s="797"/>
      <c r="CK422" s="797"/>
      <c r="CL422" s="797"/>
      <c r="CM422" s="797"/>
      <c r="CN422" s="797"/>
      <c r="CO422" s="797"/>
      <c r="CP422" s="797"/>
      <c r="CQ422" s="797"/>
      <c r="CR422" s="797"/>
      <c r="CS422" s="797"/>
      <c r="CT422" s="797"/>
      <c r="CU422" s="797"/>
    </row>
    <row r="423" spans="1:99" x14ac:dyDescent="0.25">
      <c r="A423" s="191">
        <f>(A421+A422)</f>
        <v>-156.35324913631814</v>
      </c>
      <c r="B423" s="149"/>
      <c r="C423" s="162">
        <f>INT(C416)-C416+N423</f>
        <v>0.41574551836508</v>
      </c>
      <c r="D423" s="149"/>
      <c r="E423" s="191" t="s">
        <v>53</v>
      </c>
      <c r="F423" s="149">
        <f>((O423+B419+E417)/3)*Q422/Q414</f>
        <v>4064.6444669218727</v>
      </c>
      <c r="G423" s="149"/>
      <c r="H423" s="149">
        <f>ROUND(H422,2)</f>
        <v>215.08</v>
      </c>
      <c r="I423" s="149"/>
      <c r="J423" s="149"/>
      <c r="K423" s="149"/>
      <c r="L423" s="149"/>
      <c r="M423" s="149"/>
      <c r="N423" s="149">
        <v>1</v>
      </c>
      <c r="O423" s="426">
        <f>((B409+B419+E417)/3)*Q422/Q414</f>
        <v>1526.2353220949501</v>
      </c>
      <c r="P423" s="427">
        <f>(Q423/Q422)</f>
        <v>226.39477403561821</v>
      </c>
      <c r="Q423" s="152">
        <f>P409*Q414</f>
        <v>430.15007066767458</v>
      </c>
      <c r="R423" s="247">
        <f>(F418+P419)/2</f>
        <v>1137.0389710152804</v>
      </c>
      <c r="S423" s="151"/>
      <c r="T423" s="191">
        <f>(T421+T422)</f>
        <v>-136.23263369027887</v>
      </c>
      <c r="U423" s="149"/>
      <c r="V423" s="162">
        <f>INT(V416)-V416+AG423</f>
        <v>0.2060532056116875</v>
      </c>
      <c r="W423" s="149"/>
      <c r="X423" s="191" t="s">
        <v>53</v>
      </c>
      <c r="Y423" s="149">
        <f>((AH423+U419+X417)/3)*AJ422/AJ414</f>
        <v>4211.9194922271172</v>
      </c>
      <c r="Z423" s="149"/>
      <c r="AA423" s="149">
        <f>ROUND(AA422,2)</f>
        <v>118.56</v>
      </c>
      <c r="AB423" s="149"/>
      <c r="AC423" s="149"/>
      <c r="AD423" s="149"/>
      <c r="AE423" s="149"/>
      <c r="AF423" s="149"/>
      <c r="AG423" s="149">
        <v>1</v>
      </c>
      <c r="AH423" s="426">
        <f>((U409+U419+X417)/3)*AJ422/AJ414</f>
        <v>1525.3363384974607</v>
      </c>
      <c r="AI423" s="427">
        <f>(AJ423/AJ422)</f>
        <v>215.55484578633886</v>
      </c>
      <c r="AJ423" s="152">
        <f>AI409*AJ414</f>
        <v>237.11033036497275</v>
      </c>
      <c r="AK423" s="247">
        <f>(Y418+AI419)/2</f>
        <v>1134.3751552850149</v>
      </c>
      <c r="AL423" s="151"/>
      <c r="AM423" s="542">
        <f>(AM421+AM422)</f>
        <v>-161.67704063939766</v>
      </c>
      <c r="AN423" s="500"/>
      <c r="AO423" s="513">
        <f>INT(AO416)-AO416+AZ423</f>
        <v>0.16349031645331635</v>
      </c>
      <c r="AP423" s="500"/>
      <c r="AQ423" s="542" t="s">
        <v>53</v>
      </c>
      <c r="AR423" s="500">
        <f>((BA423+AN419+AQ417)/3)*BC422/BC414</f>
        <v>2736.4264926117835</v>
      </c>
      <c r="AS423" s="500"/>
      <c r="AT423" s="500">
        <f>ROUND(AT422,2)</f>
        <v>170.99</v>
      </c>
      <c r="AU423" s="500"/>
      <c r="AV423" s="500"/>
      <c r="AW423" s="500"/>
      <c r="AX423" s="500"/>
      <c r="AY423" s="500"/>
      <c r="AZ423" s="500">
        <v>1</v>
      </c>
      <c r="BA423" s="746">
        <f>((AN409+AN419+AQ417)/3)*BC422/BC414</f>
        <v>1214.1727433692995</v>
      </c>
      <c r="BB423" s="747">
        <f>(BC423/BC422)</f>
        <v>227.99093192543342</v>
      </c>
      <c r="BC423" s="503">
        <f>BB409*BC414</f>
        <v>341.98639788815012</v>
      </c>
      <c r="BD423" s="503">
        <f>(AR418+BB419)/2</f>
        <v>905.34133336999639</v>
      </c>
      <c r="BE423" s="502"/>
      <c r="BF423" s="542">
        <f>(BF421+BF422)</f>
        <v>-177.32303565807649</v>
      </c>
      <c r="BG423" s="500"/>
      <c r="BH423" s="513">
        <f>INT(BH416)-BH416+BS423</f>
        <v>0.11616247321098605</v>
      </c>
      <c r="BI423" s="500"/>
      <c r="BJ423" s="542" t="s">
        <v>53</v>
      </c>
      <c r="BK423" s="500">
        <f>((BT423+BG419+BJ417)/3)*BV422/BV414</f>
        <v>2677.2087898985756</v>
      </c>
      <c r="BL423" s="500"/>
      <c r="BM423" s="500">
        <f>ROUND(BM422,2)</f>
        <v>94.26</v>
      </c>
      <c r="BN423" s="500"/>
      <c r="BO423" s="500"/>
      <c r="BP423" s="500"/>
      <c r="BQ423" s="500"/>
      <c r="BR423" s="500"/>
      <c r="BS423" s="500">
        <v>1</v>
      </c>
      <c r="BT423" s="746">
        <f>((BG409+BG419+BJ417)/3)*BV422/BV414</f>
        <v>1215.0036543847298</v>
      </c>
      <c r="BU423" s="747">
        <f>(BV423/BV422)</f>
        <v>235.64016756326907</v>
      </c>
      <c r="BV423" s="503">
        <f>BU409*BV414</f>
        <v>188.51213405061526</v>
      </c>
      <c r="BW423" s="503">
        <f>(BK418+BU419)/2</f>
        <v>907.29732777408344</v>
      </c>
      <c r="BX423" s="502"/>
      <c r="BY423" s="797"/>
      <c r="BZ423" s="797"/>
      <c r="CA423" s="797"/>
      <c r="CB423" s="797"/>
      <c r="CC423" s="797"/>
      <c r="CD423" s="797"/>
      <c r="CE423" s="797"/>
      <c r="CF423" s="797"/>
      <c r="CG423" s="797"/>
      <c r="CH423" s="797"/>
      <c r="CI423" s="797"/>
      <c r="CJ423" s="797"/>
      <c r="CK423" s="797"/>
      <c r="CL423" s="797"/>
      <c r="CM423" s="797"/>
      <c r="CN423" s="797"/>
      <c r="CO423" s="797"/>
      <c r="CP423" s="797"/>
      <c r="CQ423" s="797"/>
      <c r="CR423" s="797"/>
      <c r="CS423" s="797"/>
      <c r="CT423" s="797"/>
      <c r="CU423" s="797"/>
    </row>
    <row r="424" spans="1:99" x14ac:dyDescent="0.25">
      <c r="A424" s="171"/>
      <c r="B424" s="171"/>
      <c r="C424" s="171"/>
      <c r="D424" s="171"/>
      <c r="E424" s="171"/>
      <c r="F424" s="171"/>
      <c r="G424" s="171"/>
      <c r="H424" s="171"/>
      <c r="I424" s="171"/>
      <c r="J424" s="151"/>
      <c r="K424" s="151"/>
      <c r="L424" s="151"/>
      <c r="M424" s="151"/>
      <c r="N424" s="171"/>
      <c r="O424" s="171"/>
      <c r="P424" s="171" t="s">
        <v>54</v>
      </c>
      <c r="Q424" s="245" t="b">
        <f>IF(R424&gt;0,"M")</f>
        <v>0</v>
      </c>
      <c r="R424" s="245">
        <f>(R428*R426)</f>
        <v>-1</v>
      </c>
      <c r="S424" s="151"/>
      <c r="T424" s="171"/>
      <c r="U424" s="171"/>
      <c r="V424" s="171"/>
      <c r="W424" s="171"/>
      <c r="X424" s="171"/>
      <c r="Y424" s="171"/>
      <c r="Z424" s="171"/>
      <c r="AA424" s="171"/>
      <c r="AB424" s="171"/>
      <c r="AC424" s="151"/>
      <c r="AD424" s="151"/>
      <c r="AE424" s="151"/>
      <c r="AF424" s="151"/>
      <c r="AG424" s="171"/>
      <c r="AH424" s="171"/>
      <c r="AI424" s="171" t="s">
        <v>54</v>
      </c>
      <c r="AJ424" s="245" t="b">
        <f>IF(AK424&gt;0,"M")</f>
        <v>0</v>
      </c>
      <c r="AK424" s="245">
        <f>(AK428*AK426)</f>
        <v>-1</v>
      </c>
      <c r="AL424" s="151"/>
      <c r="AM424" s="502"/>
      <c r="AN424" s="502"/>
      <c r="AO424" s="502"/>
      <c r="AP424" s="502"/>
      <c r="AQ424" s="502"/>
      <c r="AR424" s="502"/>
      <c r="AS424" s="502"/>
      <c r="AT424" s="502"/>
      <c r="AU424" s="502"/>
      <c r="AV424" s="502"/>
      <c r="AW424" s="502"/>
      <c r="AX424" s="502"/>
      <c r="AY424" s="502"/>
      <c r="AZ424" s="502"/>
      <c r="BA424" s="502"/>
      <c r="BB424" s="502" t="s">
        <v>54</v>
      </c>
      <c r="BC424" s="535" t="b">
        <f>IF(BD424&gt;0,"M")</f>
        <v>0</v>
      </c>
      <c r="BD424" s="535">
        <f>(BD428*BD426)</f>
        <v>-1</v>
      </c>
      <c r="BE424" s="502"/>
      <c r="BF424" s="502"/>
      <c r="BG424" s="502"/>
      <c r="BH424" s="502"/>
      <c r="BI424" s="502"/>
      <c r="BJ424" s="502"/>
      <c r="BK424" s="502"/>
      <c r="BL424" s="502"/>
      <c r="BM424" s="502"/>
      <c r="BN424" s="502"/>
      <c r="BO424" s="502"/>
      <c r="BP424" s="502"/>
      <c r="BQ424" s="502"/>
      <c r="BR424" s="502"/>
      <c r="BS424" s="502"/>
      <c r="BT424" s="502"/>
      <c r="BU424" s="502" t="s">
        <v>54</v>
      </c>
      <c r="BV424" s="535" t="b">
        <f>IF(BW424&gt;0,"M")</f>
        <v>0</v>
      </c>
      <c r="BW424" s="535">
        <f>(BW428*BW426)</f>
        <v>-1</v>
      </c>
      <c r="BX424" s="502"/>
      <c r="BY424" s="797"/>
      <c r="BZ424" s="797"/>
      <c r="CA424" s="797"/>
      <c r="CB424" s="797"/>
      <c r="CC424" s="797"/>
      <c r="CD424" s="797"/>
      <c r="CE424" s="797"/>
      <c r="CF424" s="797"/>
      <c r="CG424" s="797"/>
      <c r="CH424" s="797"/>
      <c r="CI424" s="797"/>
      <c r="CJ424" s="797"/>
      <c r="CK424" s="797"/>
      <c r="CL424" s="797"/>
      <c r="CM424" s="797"/>
      <c r="CN424" s="797"/>
      <c r="CO424" s="797"/>
      <c r="CP424" s="797"/>
      <c r="CQ424" s="797"/>
      <c r="CR424" s="797"/>
      <c r="CS424" s="797"/>
      <c r="CT424" s="797"/>
      <c r="CU424" s="797"/>
    </row>
    <row r="425" spans="1:99" x14ac:dyDescent="0.25">
      <c r="A425" s="171"/>
      <c r="B425" s="171"/>
      <c r="C425" s="171"/>
      <c r="D425" s="171"/>
      <c r="E425" s="171"/>
      <c r="F425" s="171"/>
      <c r="G425" s="171"/>
      <c r="H425" s="171"/>
      <c r="I425" s="171"/>
      <c r="J425" s="151"/>
      <c r="K425" s="151"/>
      <c r="L425" s="151"/>
      <c r="M425" s="151"/>
      <c r="N425" s="171"/>
      <c r="O425" s="171"/>
      <c r="P425" s="171"/>
      <c r="Q425" s="245" t="str">
        <f>IF(R428+R429&lt;0,"-M")</f>
        <v>-M</v>
      </c>
      <c r="R425" s="245">
        <f>(R429*R427)</f>
        <v>-1</v>
      </c>
      <c r="S425" s="151"/>
      <c r="T425" s="171"/>
      <c r="U425" s="171"/>
      <c r="V425" s="171"/>
      <c r="W425" s="171"/>
      <c r="X425" s="171"/>
      <c r="Y425" s="171"/>
      <c r="Z425" s="171"/>
      <c r="AA425" s="171"/>
      <c r="AB425" s="171"/>
      <c r="AC425" s="151"/>
      <c r="AD425" s="151"/>
      <c r="AE425" s="151"/>
      <c r="AF425" s="151"/>
      <c r="AG425" s="171"/>
      <c r="AH425" s="171"/>
      <c r="AI425" s="171"/>
      <c r="AJ425" s="245" t="str">
        <f>IF(AK428+AK429&lt;0,"-M")</f>
        <v>-M</v>
      </c>
      <c r="AK425" s="245">
        <f>(AK429*AK427)</f>
        <v>-1</v>
      </c>
      <c r="AL425" s="151"/>
      <c r="AM425" s="502"/>
      <c r="AN425" s="502"/>
      <c r="AO425" s="502"/>
      <c r="AP425" s="502"/>
      <c r="AQ425" s="502"/>
      <c r="AR425" s="502"/>
      <c r="AS425" s="502"/>
      <c r="AT425" s="502"/>
      <c r="AU425" s="502"/>
      <c r="AV425" s="502"/>
      <c r="AW425" s="502"/>
      <c r="AX425" s="502"/>
      <c r="AY425" s="502"/>
      <c r="AZ425" s="502"/>
      <c r="BA425" s="502"/>
      <c r="BB425" s="502"/>
      <c r="BC425" s="535" t="str">
        <f>IF(BD428+BD429&lt;0,"-M")</f>
        <v>-M</v>
      </c>
      <c r="BD425" s="535">
        <f>(BD429*BD427)</f>
        <v>-1</v>
      </c>
      <c r="BE425" s="502"/>
      <c r="BF425" s="502"/>
      <c r="BG425" s="502"/>
      <c r="BH425" s="502"/>
      <c r="BI425" s="502"/>
      <c r="BJ425" s="502"/>
      <c r="BK425" s="502"/>
      <c r="BL425" s="502"/>
      <c r="BM425" s="502"/>
      <c r="BN425" s="502"/>
      <c r="BO425" s="502"/>
      <c r="BP425" s="502"/>
      <c r="BQ425" s="502"/>
      <c r="BR425" s="502"/>
      <c r="BS425" s="502"/>
      <c r="BT425" s="502"/>
      <c r="BU425" s="502"/>
      <c r="BV425" s="535" t="str">
        <f>IF(BW428+BW429&lt;0,"-M")</f>
        <v>-M</v>
      </c>
      <c r="BW425" s="535">
        <f>(BW429*BW427)</f>
        <v>-1</v>
      </c>
      <c r="BX425" s="502"/>
      <c r="BY425" s="797"/>
      <c r="BZ425" s="797"/>
      <c r="CA425" s="797"/>
      <c r="CB425" s="797"/>
      <c r="CC425" s="797"/>
      <c r="CD425" s="797"/>
      <c r="CE425" s="797"/>
      <c r="CF425" s="797"/>
      <c r="CG425" s="797"/>
      <c r="CH425" s="797"/>
      <c r="CI425" s="797"/>
      <c r="CJ425" s="797"/>
      <c r="CK425" s="797"/>
      <c r="CL425" s="797"/>
      <c r="CM425" s="797"/>
      <c r="CN425" s="797"/>
      <c r="CO425" s="797"/>
      <c r="CP425" s="797"/>
      <c r="CQ425" s="797"/>
      <c r="CR425" s="797"/>
      <c r="CS425" s="797"/>
      <c r="CT425" s="797"/>
      <c r="CU425" s="797"/>
    </row>
    <row r="426" spans="1:99" x14ac:dyDescent="0.25">
      <c r="A426" s="171"/>
      <c r="B426" s="171"/>
      <c r="C426" s="171"/>
      <c r="D426" s="171"/>
      <c r="E426" s="171"/>
      <c r="F426" s="171"/>
      <c r="G426" s="171"/>
      <c r="H426" s="171"/>
      <c r="I426" s="171"/>
      <c r="J426" s="151"/>
      <c r="K426" s="151"/>
      <c r="L426" s="151"/>
      <c r="M426" s="151"/>
      <c r="N426" s="171"/>
      <c r="O426" s="171"/>
      <c r="P426" s="171"/>
      <c r="Q426" s="245" t="b">
        <f>IF(R428+R429&gt;0,"+M")</f>
        <v>0</v>
      </c>
      <c r="R426" s="245">
        <f>(P428*O428*N428)</f>
        <v>1</v>
      </c>
      <c r="S426" s="151"/>
      <c r="T426" s="171"/>
      <c r="U426" s="171"/>
      <c r="V426" s="171"/>
      <c r="W426" s="171"/>
      <c r="X426" s="171"/>
      <c r="Y426" s="171"/>
      <c r="Z426" s="171"/>
      <c r="AA426" s="171"/>
      <c r="AB426" s="171"/>
      <c r="AC426" s="151"/>
      <c r="AD426" s="151"/>
      <c r="AE426" s="151"/>
      <c r="AF426" s="151"/>
      <c r="AG426" s="171"/>
      <c r="AH426" s="171"/>
      <c r="AI426" s="171"/>
      <c r="AJ426" s="245" t="b">
        <f>IF(AK428+AK429&gt;0,"+M")</f>
        <v>0</v>
      </c>
      <c r="AK426" s="245">
        <f>(AI428*AH428*AG428)</f>
        <v>1</v>
      </c>
      <c r="AL426" s="151"/>
      <c r="AM426" s="502"/>
      <c r="AN426" s="502"/>
      <c r="AO426" s="502"/>
      <c r="AP426" s="502"/>
      <c r="AQ426" s="502"/>
      <c r="AR426" s="502"/>
      <c r="AS426" s="502"/>
      <c r="AT426" s="502"/>
      <c r="AU426" s="502"/>
      <c r="AV426" s="502"/>
      <c r="AW426" s="502"/>
      <c r="AX426" s="502"/>
      <c r="AY426" s="502"/>
      <c r="AZ426" s="502"/>
      <c r="BA426" s="502"/>
      <c r="BB426" s="502"/>
      <c r="BC426" s="535" t="b">
        <f>IF(BD428+BD429&gt;0,"+M")</f>
        <v>0</v>
      </c>
      <c r="BD426" s="535">
        <f>(BB428*BA428*AZ428)</f>
        <v>1</v>
      </c>
      <c r="BE426" s="502"/>
      <c r="BF426" s="502"/>
      <c r="BG426" s="502"/>
      <c r="BH426" s="502"/>
      <c r="BI426" s="502"/>
      <c r="BJ426" s="502"/>
      <c r="BK426" s="502"/>
      <c r="BL426" s="502"/>
      <c r="BM426" s="502"/>
      <c r="BN426" s="502"/>
      <c r="BO426" s="502"/>
      <c r="BP426" s="502"/>
      <c r="BQ426" s="502"/>
      <c r="BR426" s="502"/>
      <c r="BS426" s="502"/>
      <c r="BT426" s="502"/>
      <c r="BU426" s="502"/>
      <c r="BV426" s="535" t="b">
        <f>IF(BW428+BW429&gt;0,"+M")</f>
        <v>0</v>
      </c>
      <c r="BW426" s="535">
        <f>(BU428*BT428*BS428)</f>
        <v>1</v>
      </c>
      <c r="BX426" s="502"/>
      <c r="BY426" s="797"/>
      <c r="BZ426" s="797"/>
      <c r="CA426" s="797"/>
      <c r="CB426" s="797"/>
      <c r="CC426" s="797"/>
      <c r="CD426" s="797"/>
      <c r="CE426" s="797"/>
      <c r="CF426" s="797"/>
      <c r="CG426" s="797"/>
      <c r="CH426" s="797"/>
      <c r="CI426" s="797"/>
      <c r="CJ426" s="797"/>
      <c r="CK426" s="797"/>
      <c r="CL426" s="797"/>
      <c r="CM426" s="797"/>
      <c r="CN426" s="797"/>
      <c r="CO426" s="797"/>
      <c r="CP426" s="797"/>
      <c r="CQ426" s="797"/>
      <c r="CR426" s="797"/>
      <c r="CS426" s="797"/>
      <c r="CT426" s="797"/>
      <c r="CU426" s="797"/>
    </row>
    <row r="427" spans="1:99" x14ac:dyDescent="0.25">
      <c r="A427" s="245"/>
      <c r="B427" s="171"/>
      <c r="C427" s="245" t="str">
        <f>IF(S429&lt;690," BS ")</f>
        <v xml:space="preserve"> BS </v>
      </c>
      <c r="D427" s="245" t="b">
        <f>IF(S429&gt;3444," MB ")</f>
        <v>0</v>
      </c>
      <c r="E427" s="428">
        <f>P461</f>
        <v>-1</v>
      </c>
      <c r="F427" s="428">
        <f>P436</f>
        <v>-1</v>
      </c>
      <c r="G427" s="429"/>
      <c r="H427" s="428">
        <f>P413</f>
        <v>1</v>
      </c>
      <c r="I427" s="171"/>
      <c r="J427" s="151"/>
      <c r="K427" s="151"/>
      <c r="L427" s="151"/>
      <c r="M427" s="151"/>
      <c r="N427" s="245" t="str">
        <f>IF((M429+M428)=0,"E")</f>
        <v>E</v>
      </c>
      <c r="O427" s="245">
        <f>IF(Q428&gt;0,-1,1)</f>
        <v>1</v>
      </c>
      <c r="P427" s="245">
        <f>IF(Q428&lt;0,1,-1)</f>
        <v>1</v>
      </c>
      <c r="Q427" s="171"/>
      <c r="R427" s="245">
        <f>(P429*O429*N429)</f>
        <v>1</v>
      </c>
      <c r="S427" s="151"/>
      <c r="T427" s="245"/>
      <c r="U427" s="171"/>
      <c r="V427" s="245" t="str">
        <f>IF(AL429&lt;690," BS ")</f>
        <v xml:space="preserve"> BS </v>
      </c>
      <c r="W427" s="245" t="b">
        <f>IF(AL429&gt;3444," MB ")</f>
        <v>0</v>
      </c>
      <c r="X427" s="428">
        <f>AI461</f>
        <v>-1</v>
      </c>
      <c r="Y427" s="428">
        <f>AI436</f>
        <v>-1</v>
      </c>
      <c r="Z427" s="429"/>
      <c r="AA427" s="428">
        <f>AI413</f>
        <v>1</v>
      </c>
      <c r="AB427" s="171"/>
      <c r="AC427" s="151"/>
      <c r="AD427" s="151"/>
      <c r="AE427" s="151"/>
      <c r="AF427" s="151"/>
      <c r="AG427" s="245" t="str">
        <f>IF((AF429+AF428)=0,"E")</f>
        <v>E</v>
      </c>
      <c r="AH427" s="245">
        <f>IF(AJ428&gt;0,-1,1)</f>
        <v>1</v>
      </c>
      <c r="AI427" s="245">
        <f>IF(AJ428&lt;0,1,-1)</f>
        <v>1</v>
      </c>
      <c r="AJ427" s="171"/>
      <c r="AK427" s="245">
        <f>(AI429*AH429*AG429)</f>
        <v>1</v>
      </c>
      <c r="AL427" s="151"/>
      <c r="AM427" s="535"/>
      <c r="AN427" s="502"/>
      <c r="AO427" s="535" t="str">
        <f>IF(BE429&lt;690," BS ")</f>
        <v xml:space="preserve"> BS </v>
      </c>
      <c r="AP427" s="535" t="b">
        <f>IF(BE429&gt;3444," MB ")</f>
        <v>0</v>
      </c>
      <c r="AQ427" s="748">
        <f>BB461</f>
        <v>-1</v>
      </c>
      <c r="AR427" s="748">
        <f>BB436</f>
        <v>-1</v>
      </c>
      <c r="AS427" s="749"/>
      <c r="AT427" s="748">
        <f>BB413</f>
        <v>1</v>
      </c>
      <c r="AU427" s="502"/>
      <c r="AV427" s="502"/>
      <c r="AW427" s="502"/>
      <c r="AX427" s="502"/>
      <c r="AY427" s="502"/>
      <c r="AZ427" s="535" t="str">
        <f>IF((AY429+AY428)=0,"E")</f>
        <v>E</v>
      </c>
      <c r="BA427" s="535">
        <f>IF(BC428&gt;0,-1,1)</f>
        <v>1</v>
      </c>
      <c r="BB427" s="535">
        <f>IF(BC428&lt;0,1,-1)</f>
        <v>1</v>
      </c>
      <c r="BC427" s="502"/>
      <c r="BD427" s="535">
        <f>(BB429*BA429*AZ429)</f>
        <v>1</v>
      </c>
      <c r="BE427" s="502"/>
      <c r="BF427" s="535"/>
      <c r="BG427" s="502"/>
      <c r="BH427" s="535" t="str">
        <f>IF(BX429&lt;690," BS ")</f>
        <v xml:space="preserve"> BS </v>
      </c>
      <c r="BI427" s="535" t="b">
        <f>IF(BX429&gt;3444," MB ")</f>
        <v>0</v>
      </c>
      <c r="BJ427" s="748">
        <f>BU461</f>
        <v>-1</v>
      </c>
      <c r="BK427" s="748">
        <f>BU436</f>
        <v>-1</v>
      </c>
      <c r="BL427" s="749"/>
      <c r="BM427" s="748">
        <f>BU413</f>
        <v>1</v>
      </c>
      <c r="BN427" s="502"/>
      <c r="BO427" s="502"/>
      <c r="BP427" s="502"/>
      <c r="BQ427" s="502"/>
      <c r="BR427" s="502"/>
      <c r="BS427" s="535" t="str">
        <f>IF((BR429+BR428)=0,"E")</f>
        <v>E</v>
      </c>
      <c r="BT427" s="535">
        <f>IF(BV428&gt;0,-1,1)</f>
        <v>1</v>
      </c>
      <c r="BU427" s="535">
        <f>IF(BV428&lt;0,1,-1)</f>
        <v>1</v>
      </c>
      <c r="BV427" s="502"/>
      <c r="BW427" s="535">
        <f>(BU429*BT429*BS429)</f>
        <v>1</v>
      </c>
      <c r="BX427" s="502"/>
      <c r="BY427" s="797"/>
      <c r="BZ427" s="797"/>
      <c r="CA427" s="797"/>
      <c r="CB427" s="797"/>
      <c r="CC427" s="797"/>
      <c r="CD427" s="797"/>
      <c r="CE427" s="797"/>
      <c r="CF427" s="797"/>
      <c r="CG427" s="797"/>
      <c r="CH427" s="797"/>
      <c r="CI427" s="797"/>
      <c r="CJ427" s="797"/>
      <c r="CK427" s="797"/>
      <c r="CL427" s="797"/>
      <c r="CM427" s="797"/>
      <c r="CN427" s="797"/>
      <c r="CO427" s="797"/>
      <c r="CP427" s="797"/>
      <c r="CQ427" s="797"/>
      <c r="CR427" s="797"/>
      <c r="CS427" s="797"/>
      <c r="CT427" s="797"/>
      <c r="CU427" s="797"/>
    </row>
    <row r="428" spans="1:99" x14ac:dyDescent="0.25">
      <c r="A428" s="171"/>
      <c r="B428" s="171"/>
      <c r="C428" s="245" t="b">
        <f>IF(S429&gt;690," AS ")</f>
        <v>0</v>
      </c>
      <c r="D428" s="171"/>
      <c r="E428" s="152">
        <f>P459</f>
        <v>1</v>
      </c>
      <c r="F428" s="152">
        <f>P434</f>
        <v>1</v>
      </c>
      <c r="G428" s="245"/>
      <c r="H428" s="152">
        <f>P411</f>
        <v>-1</v>
      </c>
      <c r="I428" s="171"/>
      <c r="J428" s="151"/>
      <c r="K428" s="151"/>
      <c r="L428" s="151"/>
      <c r="M428" s="246"/>
      <c r="N428" s="247">
        <f>O460</f>
        <v>-1</v>
      </c>
      <c r="O428" s="247">
        <f>O435</f>
        <v>-1</v>
      </c>
      <c r="P428" s="247">
        <f>(O413)</f>
        <v>1</v>
      </c>
      <c r="Q428" s="248">
        <f>(Q421+Q444+Q469)</f>
        <v>-855.30618299682851</v>
      </c>
      <c r="R428" s="249">
        <f>(P428+O428+N428)</f>
        <v>-1</v>
      </c>
      <c r="S428" s="244">
        <f>INT(R428)+R428</f>
        <v>-2</v>
      </c>
      <c r="T428" s="171"/>
      <c r="U428" s="171"/>
      <c r="V428" s="245" t="b">
        <f>IF(AL429&gt;690," AS ")</f>
        <v>0</v>
      </c>
      <c r="W428" s="171"/>
      <c r="X428" s="152">
        <f>AI459</f>
        <v>1</v>
      </c>
      <c r="Y428" s="152">
        <f>AI434</f>
        <v>1</v>
      </c>
      <c r="Z428" s="245"/>
      <c r="AA428" s="152">
        <f>AI411</f>
        <v>-1</v>
      </c>
      <c r="AB428" s="171"/>
      <c r="AC428" s="151"/>
      <c r="AD428" s="151"/>
      <c r="AE428" s="151"/>
      <c r="AF428" s="246"/>
      <c r="AG428" s="247">
        <f>AH460</f>
        <v>-1</v>
      </c>
      <c r="AH428" s="247">
        <f>AH435</f>
        <v>-1</v>
      </c>
      <c r="AI428" s="247">
        <f>(AH413)</f>
        <v>1</v>
      </c>
      <c r="AJ428" s="248">
        <f>(AJ421+AJ444+AJ469)</f>
        <v>-324.95885267412274</v>
      </c>
      <c r="AK428" s="249">
        <f>(AI428+AH428+AG428)</f>
        <v>-1</v>
      </c>
      <c r="AL428" s="244">
        <f>INT(AK428)+AK428</f>
        <v>-2</v>
      </c>
      <c r="AM428" s="502"/>
      <c r="AN428" s="502"/>
      <c r="AO428" s="535" t="b">
        <f>IF(BE429&gt;690," AS ")</f>
        <v>0</v>
      </c>
      <c r="AP428" s="502"/>
      <c r="AQ428" s="503">
        <f>BB459</f>
        <v>1</v>
      </c>
      <c r="AR428" s="503">
        <f>BB434</f>
        <v>1</v>
      </c>
      <c r="AS428" s="535"/>
      <c r="AT428" s="503">
        <f>BB411</f>
        <v>-1</v>
      </c>
      <c r="AU428" s="502"/>
      <c r="AV428" s="502"/>
      <c r="AW428" s="502"/>
      <c r="AX428" s="502"/>
      <c r="AY428" s="512"/>
      <c r="AZ428" s="503">
        <f>BA460</f>
        <v>-1</v>
      </c>
      <c r="BA428" s="503">
        <f>BA435</f>
        <v>-1</v>
      </c>
      <c r="BB428" s="503">
        <f>(BA413)</f>
        <v>1</v>
      </c>
      <c r="BC428" s="590">
        <f>(BC421+BC444+BC469)</f>
        <v>-1043.1012388578092</v>
      </c>
      <c r="BD428" s="591">
        <f>(BB428+BA428+AZ428)</f>
        <v>-1</v>
      </c>
      <c r="BE428" s="590">
        <f>INT(BD428)+BD428</f>
        <v>-2</v>
      </c>
      <c r="BF428" s="502"/>
      <c r="BG428" s="502"/>
      <c r="BH428" s="535" t="b">
        <f>IF(BX429&gt;690," AS ")</f>
        <v>0</v>
      </c>
      <c r="BI428" s="502"/>
      <c r="BJ428" s="503">
        <f>BU459</f>
        <v>1</v>
      </c>
      <c r="BK428" s="503">
        <f>BU434</f>
        <v>1</v>
      </c>
      <c r="BL428" s="535"/>
      <c r="BM428" s="503">
        <f>BU411</f>
        <v>1</v>
      </c>
      <c r="BN428" s="502"/>
      <c r="BO428" s="502"/>
      <c r="BP428" s="502"/>
      <c r="BQ428" s="502"/>
      <c r="BR428" s="512"/>
      <c r="BS428" s="503">
        <f>BT460</f>
        <v>-1</v>
      </c>
      <c r="BT428" s="503">
        <f>BT435</f>
        <v>-1</v>
      </c>
      <c r="BU428" s="503">
        <f>(BT413)</f>
        <v>1</v>
      </c>
      <c r="BV428" s="590">
        <f>(BV421+BV444+BV469)</f>
        <v>-516.78134394347012</v>
      </c>
      <c r="BW428" s="591">
        <f>(BU428+BT428+BS428)</f>
        <v>-1</v>
      </c>
      <c r="BX428" s="590">
        <f>INT(BW428)+BW428</f>
        <v>-2</v>
      </c>
      <c r="BY428" s="797"/>
      <c r="BZ428" s="797"/>
      <c r="CA428" s="797"/>
      <c r="CB428" s="797"/>
      <c r="CC428" s="797"/>
      <c r="CD428" s="797"/>
      <c r="CE428" s="797"/>
      <c r="CF428" s="797"/>
      <c r="CG428" s="797"/>
      <c r="CH428" s="797"/>
      <c r="CI428" s="797"/>
      <c r="CJ428" s="797"/>
      <c r="CK428" s="797"/>
      <c r="CL428" s="797"/>
      <c r="CM428" s="797"/>
      <c r="CN428" s="797"/>
      <c r="CO428" s="797"/>
      <c r="CP428" s="797"/>
      <c r="CQ428" s="797"/>
      <c r="CR428" s="797"/>
      <c r="CS428" s="797"/>
      <c r="CT428" s="797"/>
      <c r="CU428" s="797"/>
    </row>
    <row r="429" spans="1:99" x14ac:dyDescent="0.25">
      <c r="A429" s="171"/>
      <c r="B429" s="171"/>
      <c r="C429" s="245" t="b">
        <f>IF(S429=0," F ")</f>
        <v>0</v>
      </c>
      <c r="D429" s="171"/>
      <c r="E429" s="152">
        <f>P462</f>
        <v>-1</v>
      </c>
      <c r="F429" s="152">
        <f>P437</f>
        <v>-1</v>
      </c>
      <c r="G429" s="245"/>
      <c r="H429" s="152">
        <f>P414</f>
        <v>-1</v>
      </c>
      <c r="I429" s="171"/>
      <c r="J429" s="151"/>
      <c r="K429" s="151"/>
      <c r="L429" s="151"/>
      <c r="M429" s="246"/>
      <c r="N429" s="247">
        <f>O461</f>
        <v>-1</v>
      </c>
      <c r="O429" s="247">
        <f>O436</f>
        <v>-1</v>
      </c>
      <c r="P429" s="247">
        <f>O412</f>
        <v>1</v>
      </c>
      <c r="Q429" s="245" t="b">
        <f>IF(Q428&gt;0,Q430)</f>
        <v>0</v>
      </c>
      <c r="R429" s="250">
        <f>(P429+O429+N429)</f>
        <v>-1</v>
      </c>
      <c r="S429" s="244">
        <f>(S428^8)</f>
        <v>256</v>
      </c>
      <c r="T429" s="171"/>
      <c r="U429" s="171"/>
      <c r="V429" s="245" t="b">
        <f>IF(AL429=0," F ")</f>
        <v>0</v>
      </c>
      <c r="W429" s="171"/>
      <c r="X429" s="152">
        <f>AI462</f>
        <v>-1</v>
      </c>
      <c r="Y429" s="152">
        <f>AI437</f>
        <v>-1</v>
      </c>
      <c r="Z429" s="245"/>
      <c r="AA429" s="152">
        <f>AI414</f>
        <v>-1</v>
      </c>
      <c r="AB429" s="171"/>
      <c r="AC429" s="151"/>
      <c r="AD429" s="151"/>
      <c r="AE429" s="151"/>
      <c r="AF429" s="246"/>
      <c r="AG429" s="247">
        <f>AH461</f>
        <v>-1</v>
      </c>
      <c r="AH429" s="247">
        <f>AH436</f>
        <v>-1</v>
      </c>
      <c r="AI429" s="247">
        <f>AH412</f>
        <v>1</v>
      </c>
      <c r="AJ429" s="245" t="b">
        <f>IF(AJ428&gt;0,AJ430)</f>
        <v>0</v>
      </c>
      <c r="AK429" s="250">
        <f>(AI429+AH429+AG429)</f>
        <v>-1</v>
      </c>
      <c r="AL429" s="244">
        <f>(AL428^8)</f>
        <v>256</v>
      </c>
      <c r="AM429" s="502"/>
      <c r="AN429" s="502"/>
      <c r="AO429" s="535" t="b">
        <f>IF(BE429=0," F ")</f>
        <v>0</v>
      </c>
      <c r="AP429" s="502"/>
      <c r="AQ429" s="503">
        <f>BB462</f>
        <v>-1</v>
      </c>
      <c r="AR429" s="503">
        <f>BB437</f>
        <v>-1</v>
      </c>
      <c r="AS429" s="535"/>
      <c r="AT429" s="503">
        <f>BB414</f>
        <v>-1</v>
      </c>
      <c r="AU429" s="502"/>
      <c r="AV429" s="502"/>
      <c r="AW429" s="502"/>
      <c r="AX429" s="502"/>
      <c r="AY429" s="512"/>
      <c r="AZ429" s="503">
        <f>BA461</f>
        <v>-1</v>
      </c>
      <c r="BA429" s="503">
        <f>BA436</f>
        <v>-1</v>
      </c>
      <c r="BB429" s="503">
        <f>BA412</f>
        <v>1</v>
      </c>
      <c r="BC429" s="535" t="b">
        <f>IF(BC428&gt;0,BC430)</f>
        <v>0</v>
      </c>
      <c r="BD429" s="592">
        <f>(BB429+BA429+AZ429)</f>
        <v>-1</v>
      </c>
      <c r="BE429" s="590">
        <f>(BE428^8)</f>
        <v>256</v>
      </c>
      <c r="BF429" s="502"/>
      <c r="BG429" s="502"/>
      <c r="BH429" s="535" t="b">
        <f>IF(BX429=0," F ")</f>
        <v>0</v>
      </c>
      <c r="BI429" s="502"/>
      <c r="BJ429" s="503">
        <f>BU462</f>
        <v>-1</v>
      </c>
      <c r="BK429" s="503">
        <f>BU437</f>
        <v>1</v>
      </c>
      <c r="BL429" s="535"/>
      <c r="BM429" s="503">
        <f>BU414</f>
        <v>1</v>
      </c>
      <c r="BN429" s="502"/>
      <c r="BO429" s="502"/>
      <c r="BP429" s="502"/>
      <c r="BQ429" s="502"/>
      <c r="BR429" s="512"/>
      <c r="BS429" s="503">
        <f>BT461</f>
        <v>-1</v>
      </c>
      <c r="BT429" s="503">
        <f>BT436</f>
        <v>-1</v>
      </c>
      <c r="BU429" s="503">
        <f>BT412</f>
        <v>1</v>
      </c>
      <c r="BV429" s="535" t="b">
        <f>IF(BV428&gt;0,BV430)</f>
        <v>0</v>
      </c>
      <c r="BW429" s="592">
        <f>(BU429+BT429+BS429)</f>
        <v>-1</v>
      </c>
      <c r="BX429" s="590">
        <f>(BX428^8)</f>
        <v>256</v>
      </c>
      <c r="BY429" s="797"/>
      <c r="BZ429" s="797"/>
      <c r="CA429" s="797"/>
      <c r="CB429" s="797"/>
      <c r="CC429" s="797"/>
      <c r="CD429" s="797"/>
      <c r="CE429" s="797"/>
      <c r="CF429" s="797"/>
      <c r="CG429" s="797"/>
      <c r="CH429" s="797"/>
      <c r="CI429" s="797"/>
      <c r="CJ429" s="797"/>
      <c r="CK429" s="797"/>
      <c r="CL429" s="797"/>
      <c r="CM429" s="797"/>
      <c r="CN429" s="797"/>
      <c r="CO429" s="797"/>
      <c r="CP429" s="797"/>
      <c r="CQ429" s="797"/>
      <c r="CR429" s="797"/>
      <c r="CS429" s="797"/>
      <c r="CT429" s="797"/>
      <c r="CU429" s="797"/>
    </row>
    <row r="430" spans="1:99" x14ac:dyDescent="0.25">
      <c r="A430" s="171"/>
      <c r="B430" s="171"/>
      <c r="C430" s="245" t="b">
        <f>IF(S429&gt;1797," UB ")</f>
        <v>0</v>
      </c>
      <c r="D430" s="171"/>
      <c r="E430" s="258">
        <f>P460</f>
        <v>1</v>
      </c>
      <c r="F430" s="258">
        <f>P435</f>
        <v>1</v>
      </c>
      <c r="G430" s="259"/>
      <c r="H430" s="258">
        <f>P412</f>
        <v>1</v>
      </c>
      <c r="I430" s="171"/>
      <c r="J430" s="151"/>
      <c r="K430" s="151"/>
      <c r="L430" s="151"/>
      <c r="M430" s="151"/>
      <c r="N430" s="171"/>
      <c r="O430" s="171"/>
      <c r="P430" s="171"/>
      <c r="Q430" s="260">
        <f>-OR408+1</f>
        <v>1</v>
      </c>
      <c r="R430" s="245"/>
      <c r="S430" s="151"/>
      <c r="T430" s="171"/>
      <c r="U430" s="171"/>
      <c r="V430" s="245" t="b">
        <f>IF(AL429&gt;1797," UB ")</f>
        <v>0</v>
      </c>
      <c r="W430" s="171"/>
      <c r="X430" s="258">
        <f>AI460</f>
        <v>1</v>
      </c>
      <c r="Y430" s="258">
        <f>AI435</f>
        <v>1</v>
      </c>
      <c r="Z430" s="259"/>
      <c r="AA430" s="258">
        <f>AI412</f>
        <v>1</v>
      </c>
      <c r="AB430" s="171"/>
      <c r="AC430" s="151"/>
      <c r="AD430" s="151"/>
      <c r="AE430" s="151"/>
      <c r="AF430" s="151"/>
      <c r="AG430" s="171"/>
      <c r="AH430" s="171"/>
      <c r="AI430" s="171"/>
      <c r="AJ430" s="260">
        <f>-PK408+1</f>
        <v>1</v>
      </c>
      <c r="AK430" s="245"/>
      <c r="AL430" s="151"/>
      <c r="AM430" s="502"/>
      <c r="AN430" s="502"/>
      <c r="AO430" s="535" t="b">
        <f>IF(BE429&gt;1797," UB ")</f>
        <v>0</v>
      </c>
      <c r="AP430" s="502"/>
      <c r="AQ430" s="600">
        <f>BB460</f>
        <v>1</v>
      </c>
      <c r="AR430" s="600">
        <f>BB435</f>
        <v>1</v>
      </c>
      <c r="AS430" s="549"/>
      <c r="AT430" s="600">
        <f>BB412</f>
        <v>1</v>
      </c>
      <c r="AU430" s="502"/>
      <c r="AV430" s="502"/>
      <c r="AW430" s="502"/>
      <c r="AX430" s="502"/>
      <c r="AY430" s="502"/>
      <c r="AZ430" s="502"/>
      <c r="BA430" s="502"/>
      <c r="BB430" s="502"/>
      <c r="BC430" s="601">
        <f>-QD408+1</f>
        <v>1</v>
      </c>
      <c r="BD430" s="535"/>
      <c r="BE430" s="502"/>
      <c r="BF430" s="502"/>
      <c r="BG430" s="502"/>
      <c r="BH430" s="535" t="b">
        <f>IF(BX429&gt;1797," UB ")</f>
        <v>0</v>
      </c>
      <c r="BI430" s="502"/>
      <c r="BJ430" s="600">
        <f>BU460</f>
        <v>1</v>
      </c>
      <c r="BK430" s="600">
        <f>BU435</f>
        <v>1</v>
      </c>
      <c r="BL430" s="549"/>
      <c r="BM430" s="600">
        <f>BU412</f>
        <v>1</v>
      </c>
      <c r="BN430" s="502"/>
      <c r="BO430" s="502"/>
      <c r="BP430" s="502"/>
      <c r="BQ430" s="502"/>
      <c r="BR430" s="502"/>
      <c r="BS430" s="502"/>
      <c r="BT430" s="502"/>
      <c r="BU430" s="502"/>
      <c r="BV430" s="601">
        <f>-QW408+1</f>
        <v>1</v>
      </c>
      <c r="BW430" s="535"/>
      <c r="BX430" s="502"/>
      <c r="BY430" s="797"/>
      <c r="BZ430" s="797"/>
      <c r="CA430" s="797"/>
      <c r="CB430" s="797"/>
      <c r="CC430" s="797"/>
      <c r="CD430" s="797"/>
      <c r="CE430" s="797"/>
      <c r="CF430" s="797"/>
      <c r="CG430" s="797"/>
      <c r="CH430" s="797"/>
      <c r="CI430" s="797"/>
      <c r="CJ430" s="797"/>
      <c r="CK430" s="797"/>
      <c r="CL430" s="797"/>
      <c r="CM430" s="797"/>
      <c r="CN430" s="797"/>
      <c r="CO430" s="797"/>
      <c r="CP430" s="797"/>
      <c r="CQ430" s="797"/>
      <c r="CR430" s="797"/>
      <c r="CS430" s="797"/>
      <c r="CT430" s="797"/>
      <c r="CU430" s="797"/>
    </row>
    <row r="431" spans="1:99" x14ac:dyDescent="0.25">
      <c r="A431" s="152">
        <f>P446</f>
        <v>224.37200614719714</v>
      </c>
      <c r="B431" s="154">
        <f>(A431*10^0.125)</f>
        <v>299.20487897476846</v>
      </c>
      <c r="C431" s="154">
        <f>INT(B431)</f>
        <v>299</v>
      </c>
      <c r="D431" s="154">
        <f>C431*4</f>
        <v>1196</v>
      </c>
      <c r="E431" s="154">
        <f>D431/5</f>
        <v>239.2</v>
      </c>
      <c r="F431" s="149">
        <f>E431^2</f>
        <v>57216.639999999992</v>
      </c>
      <c r="G431" s="149">
        <f>(F431^0.125)</f>
        <v>3.9326952517764404</v>
      </c>
      <c r="H431" s="149">
        <f>G431/3</f>
        <v>1.3108984172588134</v>
      </c>
      <c r="I431" s="149">
        <f>(H431*100)</f>
        <v>131.08984172588134</v>
      </c>
      <c r="J431" s="149">
        <f>(F431/100)</f>
        <v>572.16639999999995</v>
      </c>
      <c r="K431" s="149">
        <f>(J431+I431)/2</f>
        <v>351.62812086294065</v>
      </c>
      <c r="L431" s="149">
        <f>(K431+I431)/2</f>
        <v>241.358981294411</v>
      </c>
      <c r="M431" s="149">
        <f>(L431+A431)/2</f>
        <v>232.86549372080407</v>
      </c>
      <c r="N431" s="149">
        <f>M431*100^0.5</f>
        <v>2328.6549372080408</v>
      </c>
      <c r="O431" s="149">
        <f>INT(N431)/10</f>
        <v>232.8</v>
      </c>
      <c r="P431" s="149">
        <f>(O431)^2/10000</f>
        <v>5.4195840000000004</v>
      </c>
      <c r="Q431" s="149">
        <f>(P431+I431+M431)/3</f>
        <v>123.12497314889514</v>
      </c>
      <c r="R431" s="150">
        <f>Q436^0.5</f>
        <v>36.323259941237922</v>
      </c>
      <c r="S431" s="151"/>
      <c r="T431" s="152">
        <f>AI446</f>
        <v>223.80173549178355</v>
      </c>
      <c r="U431" s="154">
        <f>(T431*10^0.125)</f>
        <v>298.44441083364063</v>
      </c>
      <c r="V431" s="154">
        <f>INT(U431)</f>
        <v>298</v>
      </c>
      <c r="W431" s="154">
        <f>V431*4</f>
        <v>1192</v>
      </c>
      <c r="X431" s="154">
        <f>W431/5</f>
        <v>238.4</v>
      </c>
      <c r="Y431" s="149">
        <f>X431^2</f>
        <v>56834.560000000005</v>
      </c>
      <c r="Z431" s="149">
        <f>(Y431^0.125)</f>
        <v>3.9294029129748234</v>
      </c>
      <c r="AA431" s="149">
        <f>Z431/3</f>
        <v>1.3098009709916079</v>
      </c>
      <c r="AB431" s="149">
        <f>(AA431*100)</f>
        <v>130.98009709916079</v>
      </c>
      <c r="AC431" s="149">
        <f>(Y431/100)</f>
        <v>568.3456000000001</v>
      </c>
      <c r="AD431" s="149">
        <f>(AC431+AB431)/2</f>
        <v>349.66284854958042</v>
      </c>
      <c r="AE431" s="149">
        <f>(AD431+AB431)/2</f>
        <v>240.3214728243706</v>
      </c>
      <c r="AF431" s="149">
        <f>(AE431+T431)/2</f>
        <v>232.06160415807707</v>
      </c>
      <c r="AG431" s="149">
        <f>AF431*100^0.5</f>
        <v>2320.6160415807708</v>
      </c>
      <c r="AH431" s="149">
        <f>INT(AG431)/10</f>
        <v>232</v>
      </c>
      <c r="AI431" s="149">
        <f>(AH431)^2/10000</f>
        <v>5.3823999999999996</v>
      </c>
      <c r="AJ431" s="149">
        <f>(AI431+AB431+AF431)/3</f>
        <v>122.80803375241261</v>
      </c>
      <c r="AK431" s="150">
        <f>AJ436^0.5</f>
        <v>36.323259941237922</v>
      </c>
      <c r="AL431" s="151"/>
      <c r="AM431" s="503">
        <f>BB446</f>
        <v>224.21737940407291</v>
      </c>
      <c r="AN431" s="505">
        <f>(AM431*10^0.125)</f>
        <v>298.99868089882671</v>
      </c>
      <c r="AO431" s="505">
        <f>INT(AN431)</f>
        <v>298</v>
      </c>
      <c r="AP431" s="505">
        <f>AO431*4</f>
        <v>1192</v>
      </c>
      <c r="AQ431" s="505">
        <f>AP431/5</f>
        <v>238.4</v>
      </c>
      <c r="AR431" s="500">
        <f>AQ431^2</f>
        <v>56834.560000000005</v>
      </c>
      <c r="AS431" s="500">
        <f>(AR431^0.125)</f>
        <v>3.9294029129748234</v>
      </c>
      <c r="AT431" s="500">
        <f>AS431/3</f>
        <v>1.3098009709916079</v>
      </c>
      <c r="AU431" s="500">
        <f>(AT431*100)</f>
        <v>130.98009709916079</v>
      </c>
      <c r="AV431" s="500">
        <f>(AR431/100)</f>
        <v>568.3456000000001</v>
      </c>
      <c r="AW431" s="500">
        <f>(AV431+AU431)/2</f>
        <v>349.66284854958042</v>
      </c>
      <c r="AX431" s="500">
        <f>(AW431+AU431)/2</f>
        <v>240.3214728243706</v>
      </c>
      <c r="AY431" s="500">
        <f>(AX431+AM431)/2</f>
        <v>232.26942611422174</v>
      </c>
      <c r="AZ431" s="500">
        <f>AY431*100^0.5</f>
        <v>2322.6942611422173</v>
      </c>
      <c r="BA431" s="500">
        <f>INT(AZ431)/10</f>
        <v>232.2</v>
      </c>
      <c r="BB431" s="500">
        <f>(BA431)^2/10000</f>
        <v>5.3916839999999997</v>
      </c>
      <c r="BC431" s="500">
        <f>(BB431+AU431+AY431)/3</f>
        <v>122.88040240446084</v>
      </c>
      <c r="BD431" s="501">
        <f>BC436^0.5</f>
        <v>32.451591404174579</v>
      </c>
      <c r="BE431" s="502"/>
      <c r="BF431" s="503">
        <f>BU446</f>
        <v>224.85295753254852</v>
      </c>
      <c r="BG431" s="505">
        <f>(BF431*10^0.125)</f>
        <v>299.84623795496316</v>
      </c>
      <c r="BH431" s="505">
        <f>INT(BG431)</f>
        <v>299</v>
      </c>
      <c r="BI431" s="505">
        <f>BH431*4</f>
        <v>1196</v>
      </c>
      <c r="BJ431" s="505">
        <f>BI431/5</f>
        <v>239.2</v>
      </c>
      <c r="BK431" s="500">
        <f>BJ431^2</f>
        <v>57216.639999999992</v>
      </c>
      <c r="BL431" s="500">
        <f>(BK431^0.125)</f>
        <v>3.9326952517764404</v>
      </c>
      <c r="BM431" s="500">
        <f>BL431/3</f>
        <v>1.3108984172588134</v>
      </c>
      <c r="BN431" s="500">
        <f>(BM431*100)</f>
        <v>131.08984172588134</v>
      </c>
      <c r="BO431" s="500">
        <f>(BK431/100)</f>
        <v>572.16639999999995</v>
      </c>
      <c r="BP431" s="500">
        <f>(BO431+BN431)/2</f>
        <v>351.62812086294065</v>
      </c>
      <c r="BQ431" s="500">
        <f>(BP431+BN431)/2</f>
        <v>241.358981294411</v>
      </c>
      <c r="BR431" s="500">
        <f>(BQ431+BF431)/2</f>
        <v>233.10596941347976</v>
      </c>
      <c r="BS431" s="500">
        <f>BR431*100^0.5</f>
        <v>2331.0596941347976</v>
      </c>
      <c r="BT431" s="500">
        <f>INT(BS431)/10</f>
        <v>233.1</v>
      </c>
      <c r="BU431" s="500">
        <f>(BT431)^2/10000</f>
        <v>5.4335610000000001</v>
      </c>
      <c r="BV431" s="500">
        <f>(BU431+BN431+BR431)/3</f>
        <v>123.20979071312036</v>
      </c>
      <c r="BW431" s="501">
        <f>BV436^0.5</f>
        <v>32.451591404174579</v>
      </c>
      <c r="BX431" s="502"/>
      <c r="BY431" s="797"/>
      <c r="BZ431" s="797"/>
      <c r="CA431" s="797"/>
      <c r="CB431" s="797"/>
      <c r="CC431" s="797"/>
      <c r="CD431" s="797"/>
      <c r="CE431" s="797"/>
      <c r="CF431" s="797"/>
      <c r="CG431" s="797"/>
      <c r="CH431" s="797"/>
      <c r="CI431" s="797"/>
      <c r="CJ431" s="797"/>
      <c r="CK431" s="797"/>
      <c r="CL431" s="797"/>
      <c r="CM431" s="797"/>
      <c r="CN431" s="797"/>
      <c r="CO431" s="797"/>
      <c r="CP431" s="797"/>
      <c r="CQ431" s="797"/>
      <c r="CR431" s="797"/>
      <c r="CS431" s="797"/>
      <c r="CT431" s="797"/>
      <c r="CU431" s="797"/>
    </row>
    <row r="432" spans="1:99" x14ac:dyDescent="0.25">
      <c r="A432" s="163">
        <f>(O433-O432)</f>
        <v>3.09466085722039</v>
      </c>
      <c r="B432" s="154">
        <f>(B433+A434)/2</f>
        <v>217.8206401476794</v>
      </c>
      <c r="C432" s="164">
        <f>(D434*C434*B434*C433*D433*A432)</f>
        <v>2775830563859.042</v>
      </c>
      <c r="D432" s="154">
        <f>(C433*C432*A432)</f>
        <v>3650989192.3795972</v>
      </c>
      <c r="E432" s="163">
        <f>INT(A432+1)</f>
        <v>4</v>
      </c>
      <c r="F432" s="165">
        <f>(Q444*-1)</f>
        <v>34.965968328201477</v>
      </c>
      <c r="G432" s="161"/>
      <c r="H432" s="152">
        <f>IF(F432&lt;0,1,-1)</f>
        <v>-1</v>
      </c>
      <c r="I432" s="161"/>
      <c r="J432" s="161"/>
      <c r="K432" s="161"/>
      <c r="L432" s="161"/>
      <c r="M432" s="161"/>
      <c r="N432" s="161">
        <f>(M431+O431)/2</f>
        <v>232.83274686040204</v>
      </c>
      <c r="O432" s="161">
        <f>N432-A431</f>
        <v>8.4607407132048991</v>
      </c>
      <c r="P432" s="161">
        <f>(Q436+R434)/2</f>
        <v>1307.6896063793697</v>
      </c>
      <c r="Q432" s="162">
        <f>(Q435*A432*100)</f>
        <v>129.46666407424647</v>
      </c>
      <c r="R432" s="150">
        <f>INT(R431)</f>
        <v>36</v>
      </c>
      <c r="S432" s="151"/>
      <c r="T432" s="163">
        <f>(AH433-AH432)</f>
        <v>3.4221430704594127</v>
      </c>
      <c r="U432" s="154">
        <f>(U433+T434)/2</f>
        <v>217.12059489531148</v>
      </c>
      <c r="V432" s="164">
        <f>(W434*V434*U434*V433*W433*T432)</f>
        <v>8061047659995.5557</v>
      </c>
      <c r="W432" s="154">
        <f>(V433*V432*T432)</f>
        <v>9355418276.8198948</v>
      </c>
      <c r="X432" s="163">
        <f>INT(T432+1)</f>
        <v>4</v>
      </c>
      <c r="Y432" s="165">
        <f>(AJ444*-1)</f>
        <v>1.2227844131700452</v>
      </c>
      <c r="Z432" s="161"/>
      <c r="AA432" s="152">
        <f>IF(Y432&lt;0,1,-1)</f>
        <v>-1</v>
      </c>
      <c r="AB432" s="161"/>
      <c r="AC432" s="161"/>
      <c r="AD432" s="161"/>
      <c r="AE432" s="161"/>
      <c r="AF432" s="161"/>
      <c r="AG432" s="161">
        <f>(AF431+AH431)/2</f>
        <v>232.03080207903855</v>
      </c>
      <c r="AH432" s="161">
        <f>AG432-T431</f>
        <v>8.2290665872550051</v>
      </c>
      <c r="AI432" s="161">
        <f>(AJ436+AK434)/2</f>
        <v>1307.6896063793697</v>
      </c>
      <c r="AJ432" s="162">
        <f>(AJ435*T432*100)</f>
        <v>-37.501589941354432</v>
      </c>
      <c r="AK432" s="150">
        <f>INT(AK431)</f>
        <v>36</v>
      </c>
      <c r="AL432" s="151"/>
      <c r="AM432" s="514">
        <f>(BA433-BA432)</f>
        <v>3.8873026834116331</v>
      </c>
      <c r="AN432" s="505">
        <f>(AN433+AM434)/2</f>
        <v>217.2932355649952</v>
      </c>
      <c r="AO432" s="515">
        <f>(AP434*AO434*AN434*AO433*AP433*AM432)</f>
        <v>33269930856774.48</v>
      </c>
      <c r="AP432" s="505">
        <f>(AO433*AO432*AM432)</f>
        <v>32242088608.092464</v>
      </c>
      <c r="AQ432" s="514">
        <f>INT(AM432+1)</f>
        <v>4</v>
      </c>
      <c r="AR432" s="516">
        <f>(BC444*-1)</f>
        <v>543.20033888739886</v>
      </c>
      <c r="AS432" s="512"/>
      <c r="AT432" s="503">
        <f>IF(AR432&lt;0,1,-1)</f>
        <v>-1</v>
      </c>
      <c r="AU432" s="512"/>
      <c r="AV432" s="512"/>
      <c r="AW432" s="512"/>
      <c r="AX432" s="512"/>
      <c r="AY432" s="512"/>
      <c r="AZ432" s="512">
        <f>(AY431+BA431)/2</f>
        <v>232.23471305711087</v>
      </c>
      <c r="BA432" s="512">
        <f>AZ432-AM431</f>
        <v>8.0173336530379515</v>
      </c>
      <c r="BB432" s="512">
        <f>(BC436+BD434)/2</f>
        <v>1038.5528923317488</v>
      </c>
      <c r="BC432" s="513">
        <f>(BC435*AM432*100)</f>
        <v>542.30100743229718</v>
      </c>
      <c r="BD432" s="501">
        <f>INT(BD431)</f>
        <v>32</v>
      </c>
      <c r="BE432" s="502"/>
      <c r="BF432" s="514">
        <f>(BT433-BT432)</f>
        <v>3.5696703968319241</v>
      </c>
      <c r="BG432" s="505">
        <f>(BG433+BF434)/2</f>
        <v>218.0506911478289</v>
      </c>
      <c r="BH432" s="515">
        <f>(BI434*BH434*BG434*BH433*BI433*BF432)</f>
        <v>13410565619337.443</v>
      </c>
      <c r="BI432" s="505">
        <f>(BH433*BH432*BF432)</f>
        <v>14468934973.106262</v>
      </c>
      <c r="BJ432" s="514">
        <f>INT(BF432+1)</f>
        <v>4</v>
      </c>
      <c r="BK432" s="516">
        <f>(BV444*-1)</f>
        <v>0.41782753449171178</v>
      </c>
      <c r="BL432" s="512"/>
      <c r="BM432" s="503">
        <f>IF(BK432&lt;0,1,-1)</f>
        <v>-1</v>
      </c>
      <c r="BN432" s="512"/>
      <c r="BO432" s="512"/>
      <c r="BP432" s="512"/>
      <c r="BQ432" s="512"/>
      <c r="BR432" s="512"/>
      <c r="BS432" s="512">
        <f>(BR431+BT431)/2</f>
        <v>233.10298470673987</v>
      </c>
      <c r="BT432" s="512">
        <f>BS432-BF431</f>
        <v>8.2500271741913593</v>
      </c>
      <c r="BU432" s="512">
        <f>(BV436+BW434)/2</f>
        <v>1038.5528923317488</v>
      </c>
      <c r="BV432" s="513">
        <f>(BV435*BF432*100)</f>
        <v>-23.375191845257991</v>
      </c>
      <c r="BW432" s="501">
        <f>INT(BW431)</f>
        <v>32</v>
      </c>
      <c r="BX432" s="502"/>
      <c r="BY432" s="797"/>
      <c r="BZ432" s="797"/>
      <c r="CA432" s="797"/>
      <c r="CB432" s="797"/>
      <c r="CC432" s="797"/>
      <c r="CD432" s="797"/>
      <c r="CE432" s="797"/>
      <c r="CF432" s="797"/>
      <c r="CG432" s="797"/>
      <c r="CH432" s="797"/>
      <c r="CI432" s="797"/>
      <c r="CJ432" s="797"/>
      <c r="CK432" s="797"/>
      <c r="CL432" s="797"/>
      <c r="CM432" s="797"/>
      <c r="CN432" s="797"/>
      <c r="CO432" s="797"/>
      <c r="CP432" s="797"/>
      <c r="CQ432" s="797"/>
      <c r="CR432" s="797"/>
      <c r="CS432" s="797"/>
      <c r="CT432" s="797"/>
      <c r="CU432" s="797"/>
    </row>
    <row r="433" spans="1:99" x14ac:dyDescent="0.25">
      <c r="A433" s="163">
        <f>N432</f>
        <v>232.83274686040204</v>
      </c>
      <c r="B433" s="163">
        <f>(N432+N434)/2</f>
        <v>222.82467571858695</v>
      </c>
      <c r="C433" s="154">
        <f>(A432/D434)</f>
        <v>4.2501526854388298E-4</v>
      </c>
      <c r="D433" s="154">
        <f>(A432+B434+C434+D434)</f>
        <v>16918.538049683331</v>
      </c>
      <c r="E433" s="173">
        <f>(E432*C434)</f>
        <v>9411.4265911060993</v>
      </c>
      <c r="F433" s="174"/>
      <c r="G433" s="161"/>
      <c r="H433" s="161"/>
      <c r="I433" s="161"/>
      <c r="J433" s="161"/>
      <c r="K433" s="161"/>
      <c r="L433" s="161"/>
      <c r="M433" s="161">
        <f>(N432+N434)/2</f>
        <v>222.82467571858695</v>
      </c>
      <c r="N433" s="161">
        <f>(I431+N432)/2</f>
        <v>181.96129429314169</v>
      </c>
      <c r="O433" s="161">
        <f>A431-N434</f>
        <v>11.555401570425289</v>
      </c>
      <c r="P433" s="161"/>
      <c r="Q433" s="149"/>
      <c r="R433" s="171"/>
      <c r="S433" s="151"/>
      <c r="T433" s="163">
        <f>AG432</f>
        <v>232.03080207903855</v>
      </c>
      <c r="U433" s="163">
        <f>(AG432+AG434)/2</f>
        <v>222.09066395655384</v>
      </c>
      <c r="V433" s="154">
        <f>(T432/W434)</f>
        <v>3.391357382216873E-4</v>
      </c>
      <c r="W433" s="154">
        <f>(T432+U434+V434+W434)</f>
        <v>23133.647763205925</v>
      </c>
      <c r="X433" s="173">
        <f>(X432*V434)</f>
        <v>11794.687345470113</v>
      </c>
      <c r="Y433" s="174"/>
      <c r="Z433" s="161"/>
      <c r="AA433" s="161"/>
      <c r="AB433" s="161"/>
      <c r="AC433" s="161"/>
      <c r="AD433" s="161"/>
      <c r="AE433" s="161"/>
      <c r="AF433" s="161">
        <f>(AG432+AG434)/2</f>
        <v>222.09066395655384</v>
      </c>
      <c r="AG433" s="161">
        <f>(AB431+AG432)/2</f>
        <v>181.50544958909967</v>
      </c>
      <c r="AH433" s="161">
        <f>T431-AG434</f>
        <v>11.651209657714418</v>
      </c>
      <c r="AI433" s="161"/>
      <c r="AJ433" s="149"/>
      <c r="AK433" s="171"/>
      <c r="AL433" s="151"/>
      <c r="AM433" s="514">
        <f>AZ432</f>
        <v>232.23471305711087</v>
      </c>
      <c r="AN433" s="514">
        <f>(AZ432+AZ434)/2</f>
        <v>222.2737280623671</v>
      </c>
      <c r="AO433" s="505">
        <f>(AM432/AP434)</f>
        <v>2.4930036293141158E-4</v>
      </c>
      <c r="AP433" s="505">
        <f>(AM432+AN434+AO434+AP434)</f>
        <v>35200.809054607889</v>
      </c>
      <c r="AQ433" s="523">
        <f>(AQ432*AO434)</f>
        <v>16044.902434018897</v>
      </c>
      <c r="AR433" s="524"/>
      <c r="AS433" s="512"/>
      <c r="AT433" s="512"/>
      <c r="AU433" s="512"/>
      <c r="AV433" s="512"/>
      <c r="AW433" s="512"/>
      <c r="AX433" s="512"/>
      <c r="AY433" s="512">
        <f>(AZ432+AZ434)/2</f>
        <v>222.2737280623671</v>
      </c>
      <c r="AZ433" s="512">
        <f>(AU431+AZ432)/2</f>
        <v>181.60740507813583</v>
      </c>
      <c r="BA433" s="512">
        <f>AM431-AZ434</f>
        <v>11.904636336449585</v>
      </c>
      <c r="BB433" s="512"/>
      <c r="BC433" s="500"/>
      <c r="BD433" s="502"/>
      <c r="BE433" s="502"/>
      <c r="BF433" s="514">
        <f>BS432</f>
        <v>233.10298470673987</v>
      </c>
      <c r="BG433" s="514">
        <f>(BS432+BS434)/2</f>
        <v>223.06812233413257</v>
      </c>
      <c r="BH433" s="505">
        <f>(BF432/BI434)</f>
        <v>3.0224654952551146E-4</v>
      </c>
      <c r="BI433" s="505">
        <f>(BF432+BG434+BH434+BI434)</f>
        <v>26933.044320948095</v>
      </c>
      <c r="BJ433" s="523">
        <f>(BJ432*BH434)</f>
        <v>13234.228831659088</v>
      </c>
      <c r="BK433" s="524"/>
      <c r="BL433" s="512"/>
      <c r="BM433" s="512"/>
      <c r="BN433" s="512"/>
      <c r="BO433" s="512"/>
      <c r="BP433" s="512"/>
      <c r="BQ433" s="512"/>
      <c r="BR433" s="512">
        <f>(BS432+BS434)/2</f>
        <v>223.06812233413257</v>
      </c>
      <c r="BS433" s="512">
        <f>(BN431+BS432)/2</f>
        <v>182.09641321631062</v>
      </c>
      <c r="BT433" s="512">
        <f>BF431-BS434</f>
        <v>11.819697571023283</v>
      </c>
      <c r="BU433" s="512"/>
      <c r="BV433" s="500"/>
      <c r="BW433" s="502"/>
      <c r="BX433" s="502"/>
      <c r="BY433" s="797"/>
      <c r="BZ433" s="797"/>
      <c r="CA433" s="797"/>
      <c r="CB433" s="797"/>
      <c r="CC433" s="797"/>
      <c r="CD433" s="797"/>
      <c r="CE433" s="797"/>
      <c r="CF433" s="797"/>
      <c r="CG433" s="797"/>
      <c r="CH433" s="797"/>
      <c r="CI433" s="797"/>
      <c r="CJ433" s="797"/>
      <c r="CK433" s="797"/>
      <c r="CL433" s="797"/>
      <c r="CM433" s="797"/>
      <c r="CN433" s="797"/>
      <c r="CO433" s="797"/>
      <c r="CP433" s="797"/>
      <c r="CQ433" s="797"/>
      <c r="CR433" s="797"/>
      <c r="CS433" s="797"/>
      <c r="CT433" s="797"/>
      <c r="CU433" s="797"/>
    </row>
    <row r="434" spans="1:99" x14ac:dyDescent="0.25">
      <c r="A434" s="277">
        <f>N434</f>
        <v>212.81660457677185</v>
      </c>
      <c r="B434" s="154">
        <f>G440</f>
        <v>7281.2933705247933</v>
      </c>
      <c r="C434" s="154">
        <f>(B434/A432)</f>
        <v>2352.8566477765248</v>
      </c>
      <c r="D434" s="154">
        <f>(A432*C434)</f>
        <v>7281.2933705247933</v>
      </c>
      <c r="E434" s="163">
        <f>INT(A432)+1</f>
        <v>4</v>
      </c>
      <c r="F434" s="174">
        <f>(Q444)</f>
        <v>-34.965968328201477</v>
      </c>
      <c r="G434" s="161"/>
      <c r="H434" s="152">
        <f>IF(F432&gt;0,-1,1)</f>
        <v>-1</v>
      </c>
      <c r="I434" s="161"/>
      <c r="J434" s="161"/>
      <c r="K434" s="161"/>
      <c r="L434" s="161"/>
      <c r="M434" s="161">
        <f>(N433+P431*2)</f>
        <v>192.80046229314169</v>
      </c>
      <c r="N434" s="161">
        <f>(N432+M434)/2</f>
        <v>212.81660457677185</v>
      </c>
      <c r="O434" s="161">
        <f>(N433+J431)/2</f>
        <v>377.06384714657082</v>
      </c>
      <c r="P434" s="152">
        <f>IF(Q444&gt;1,-1,1)</f>
        <v>1</v>
      </c>
      <c r="Q434" s="162">
        <f>F442-F439</f>
        <v>-2.4998234037061442</v>
      </c>
      <c r="R434" s="150">
        <f>R432^2</f>
        <v>1296</v>
      </c>
      <c r="S434" s="151"/>
      <c r="T434" s="277">
        <f>AG434</f>
        <v>212.15052583406913</v>
      </c>
      <c r="U434" s="154">
        <f>Z440</f>
        <v>10090.776891883968</v>
      </c>
      <c r="V434" s="154">
        <f>(U434/T432)</f>
        <v>2948.6718363675282</v>
      </c>
      <c r="W434" s="154">
        <f>(T432*V434)</f>
        <v>10090.776891883968</v>
      </c>
      <c r="X434" s="163">
        <f>INT(T432)+1</f>
        <v>4</v>
      </c>
      <c r="Y434" s="174">
        <f>(AJ444)</f>
        <v>-1.2227844131700452</v>
      </c>
      <c r="Z434" s="161"/>
      <c r="AA434" s="152">
        <f>IF(Y432&gt;0,-1,1)</f>
        <v>-1</v>
      </c>
      <c r="AB434" s="161"/>
      <c r="AC434" s="161"/>
      <c r="AD434" s="161"/>
      <c r="AE434" s="161"/>
      <c r="AF434" s="161">
        <f>(AG433+AI431*2)</f>
        <v>192.27024958909968</v>
      </c>
      <c r="AG434" s="161">
        <f>(AG432+AF434)/2</f>
        <v>212.15052583406913</v>
      </c>
      <c r="AH434" s="161">
        <f>(AG433+AC431)/2</f>
        <v>374.92552479454991</v>
      </c>
      <c r="AI434" s="152">
        <f>IF(AJ444&gt;1,-1,1)</f>
        <v>1</v>
      </c>
      <c r="AJ434" s="162">
        <f>Y442-Y439</f>
        <v>-2.9448432881583511</v>
      </c>
      <c r="AK434" s="150">
        <f>AK432^2</f>
        <v>1296</v>
      </c>
      <c r="AL434" s="151"/>
      <c r="AM434" s="616">
        <f>AZ434</f>
        <v>212.31274306762333</v>
      </c>
      <c r="AN434" s="505">
        <f>AS440</f>
        <v>15592.848071709876</v>
      </c>
      <c r="AO434" s="505">
        <f>(AN434/AM432)</f>
        <v>4011.2256085047243</v>
      </c>
      <c r="AP434" s="505">
        <f>(AM432*AO434)</f>
        <v>15592.848071709876</v>
      </c>
      <c r="AQ434" s="514">
        <f>INT(AM432)+1</f>
        <v>4</v>
      </c>
      <c r="AR434" s="524">
        <f>(BC444)</f>
        <v>-543.20033888739886</v>
      </c>
      <c r="AS434" s="512"/>
      <c r="AT434" s="503">
        <f>IF(AR432&gt;0,-1,1)</f>
        <v>-1</v>
      </c>
      <c r="AU434" s="512"/>
      <c r="AV434" s="512"/>
      <c r="AW434" s="512"/>
      <c r="AX434" s="512"/>
      <c r="AY434" s="512">
        <f>(AZ433+BB431*2)</f>
        <v>192.39077307813582</v>
      </c>
      <c r="AZ434" s="512">
        <f>(AZ432+AY434)/2</f>
        <v>212.31274306762333</v>
      </c>
      <c r="BA434" s="512">
        <f>(AZ433+AV431)/2</f>
        <v>374.97650253906795</v>
      </c>
      <c r="BB434" s="503">
        <f>IF(BC444&gt;1,-1,1)</f>
        <v>1</v>
      </c>
      <c r="BC434" s="513">
        <f>AR442-AR439</f>
        <v>-2.4913247891361996</v>
      </c>
      <c r="BD434" s="501">
        <f>BD432^2</f>
        <v>1024</v>
      </c>
      <c r="BE434" s="502"/>
      <c r="BF434" s="616">
        <f>BS434</f>
        <v>213.03325996152523</v>
      </c>
      <c r="BG434" s="505">
        <f>BL440</f>
        <v>11810.458721318246</v>
      </c>
      <c r="BH434" s="505">
        <f>(BG434/BF432)</f>
        <v>3308.5572079147719</v>
      </c>
      <c r="BI434" s="505">
        <f>(BF432*BH434)</f>
        <v>11810.458721318246</v>
      </c>
      <c r="BJ434" s="514">
        <f>INT(BF432)+1</f>
        <v>4</v>
      </c>
      <c r="BK434" s="524">
        <f>(BV444)</f>
        <v>-0.41782753449171178</v>
      </c>
      <c r="BL434" s="512"/>
      <c r="BM434" s="503">
        <f>IF(BK432&gt;0,-1,1)</f>
        <v>-1</v>
      </c>
      <c r="BN434" s="512"/>
      <c r="BO434" s="512"/>
      <c r="BP434" s="512"/>
      <c r="BQ434" s="512"/>
      <c r="BR434" s="512">
        <f>(BS433+BU431*2)</f>
        <v>192.96353521631062</v>
      </c>
      <c r="BS434" s="512">
        <f>(BS432+BR434)/2</f>
        <v>213.03325996152523</v>
      </c>
      <c r="BT434" s="512">
        <f>(BS433+BO431)/2</f>
        <v>377.13140660815532</v>
      </c>
      <c r="BU434" s="503">
        <f>IF(BV444&gt;1,-1,1)</f>
        <v>1</v>
      </c>
      <c r="BV434" s="513">
        <f>BK442-BK439</f>
        <v>-3.0509798450744992</v>
      </c>
      <c r="BW434" s="501">
        <f>BW432^2</f>
        <v>1024</v>
      </c>
      <c r="BX434" s="502"/>
      <c r="BY434" s="797"/>
      <c r="BZ434" s="797"/>
      <c r="CA434" s="797"/>
      <c r="CB434" s="797"/>
      <c r="CC434" s="797"/>
      <c r="CD434" s="797"/>
      <c r="CE434" s="797"/>
      <c r="CF434" s="797"/>
      <c r="CG434" s="797"/>
      <c r="CH434" s="797"/>
      <c r="CI434" s="797"/>
      <c r="CJ434" s="797"/>
      <c r="CK434" s="797"/>
      <c r="CL434" s="797"/>
      <c r="CM434" s="797"/>
      <c r="CN434" s="797"/>
      <c r="CO434" s="797"/>
      <c r="CP434" s="797"/>
      <c r="CQ434" s="797"/>
      <c r="CR434" s="797"/>
      <c r="CS434" s="797"/>
      <c r="CT434" s="797"/>
      <c r="CU434" s="797"/>
    </row>
    <row r="435" spans="1:99" x14ac:dyDescent="0.25">
      <c r="A435" s="277">
        <f>(O433+O432)+A431</f>
        <v>244.38814843082733</v>
      </c>
      <c r="B435" s="154">
        <f>(A433+B433)/2</f>
        <v>227.82871128949449</v>
      </c>
      <c r="C435" s="163">
        <f>(C433)</f>
        <v>4.2501526854388298E-4</v>
      </c>
      <c r="D435" s="154">
        <f>(D432*D433*D434*B434*A432)</f>
        <v>1.0134527388526324E+22</v>
      </c>
      <c r="E435" s="154">
        <f>(C435*A432)</f>
        <v>1.3152781152837671E-3</v>
      </c>
      <c r="F435" s="161">
        <f>(F437/O437)*O438-F438</f>
        <v>-32.67726725945127</v>
      </c>
      <c r="G435" s="161"/>
      <c r="H435" s="161"/>
      <c r="I435" s="161"/>
      <c r="J435" s="161"/>
      <c r="K435" s="161"/>
      <c r="L435" s="161"/>
      <c r="M435" s="161"/>
      <c r="N435" s="154">
        <f>(F435+Q444)*F438</f>
        <v>-2365.2112331749372</v>
      </c>
      <c r="O435" s="152">
        <f>H434</f>
        <v>-1</v>
      </c>
      <c r="P435" s="152">
        <f>IF(Q444&lt;100,1,-1)</f>
        <v>1</v>
      </c>
      <c r="Q435" s="162">
        <f>Q434+F442</f>
        <v>0.41835493466813301</v>
      </c>
      <c r="R435" s="171"/>
      <c r="S435" s="151"/>
      <c r="T435" s="277">
        <f>(AH433+AH432)+T431</f>
        <v>243.68201173675297</v>
      </c>
      <c r="U435" s="154">
        <f>(T433+U433)/2</f>
        <v>227.0607330177962</v>
      </c>
      <c r="V435" s="163">
        <f>(V433)</f>
        <v>3.391357382216873E-4</v>
      </c>
      <c r="W435" s="154">
        <f>(W432*W433*W434*U434*T432)</f>
        <v>7.5414472608638648E+22</v>
      </c>
      <c r="X435" s="154">
        <f>(V435*T432)</f>
        <v>1.1605710165004846E-3</v>
      </c>
      <c r="Y435" s="161">
        <f>(Y437/AH437)*AH438-Y438</f>
        <v>0.37620554545995621</v>
      </c>
      <c r="Z435" s="161"/>
      <c r="AA435" s="161"/>
      <c r="AB435" s="161"/>
      <c r="AC435" s="161"/>
      <c r="AD435" s="161"/>
      <c r="AE435" s="161"/>
      <c r="AF435" s="161"/>
      <c r="AG435" s="154">
        <f>(Y435+AJ444)*Y438</f>
        <v>-1.0351834439550425</v>
      </c>
      <c r="AH435" s="152">
        <f>AA434</f>
        <v>-1</v>
      </c>
      <c r="AI435" s="152">
        <f>IF(AJ444&lt;100,1,-1)</f>
        <v>1</v>
      </c>
      <c r="AJ435" s="162">
        <f>AJ434+Y442</f>
        <v>-0.10958510257819221</v>
      </c>
      <c r="AK435" s="171"/>
      <c r="AL435" s="151"/>
      <c r="AM435" s="616">
        <f>(BA433+BA432)+AM431</f>
        <v>244.13934939356045</v>
      </c>
      <c r="AN435" s="505">
        <f>(AM433+AN433)/2</f>
        <v>227.254220559739</v>
      </c>
      <c r="AO435" s="514">
        <f>(AO433)</f>
        <v>2.4930036293141158E-4</v>
      </c>
      <c r="AP435" s="505">
        <f>(AP432*AP433*AP434*AN434*AM432)</f>
        <v>1.0726920586692325E+24</v>
      </c>
      <c r="AQ435" s="505">
        <f>(AO435*AM432)</f>
        <v>9.6910596979877031E-4</v>
      </c>
      <c r="AR435" s="512">
        <f>(AR437/BA437)*BA438-AR438</f>
        <v>-540.02141060106999</v>
      </c>
      <c r="AS435" s="512"/>
      <c r="AT435" s="512"/>
      <c r="AU435" s="512"/>
      <c r="AV435" s="512"/>
      <c r="AW435" s="512"/>
      <c r="AX435" s="512"/>
      <c r="AY435" s="512"/>
      <c r="AZ435" s="505">
        <f>(AR435+BC444)*AR438</f>
        <v>-588406.42141233745</v>
      </c>
      <c r="BA435" s="503">
        <f>AT434</f>
        <v>-1</v>
      </c>
      <c r="BB435" s="503">
        <f>IF(BC444&lt;100,1,-1)</f>
        <v>1</v>
      </c>
      <c r="BC435" s="513">
        <f>BC434+AR442</f>
        <v>1.3950573227715699</v>
      </c>
      <c r="BD435" s="502"/>
      <c r="BE435" s="502"/>
      <c r="BF435" s="616">
        <f>(BT433+BT432)+BF431</f>
        <v>244.92268227776316</v>
      </c>
      <c r="BG435" s="505">
        <f>(BF433+BG433)/2</f>
        <v>228.08555352043624</v>
      </c>
      <c r="BH435" s="514">
        <f>(BH433)</f>
        <v>3.0224654952551146E-4</v>
      </c>
      <c r="BI435" s="505">
        <f>(BI432*BI433*BI434*BG434*BF432)</f>
        <v>1.9403660189876799E+23</v>
      </c>
      <c r="BJ435" s="505">
        <f>(BH435*BF432)</f>
        <v>1.0789205603858123E-3</v>
      </c>
      <c r="BK435" s="512">
        <f>(BK437/BT437)*BT438-BK438</f>
        <v>1.0128002546452559</v>
      </c>
      <c r="BL435" s="512"/>
      <c r="BM435" s="512"/>
      <c r="BN435" s="512"/>
      <c r="BO435" s="512"/>
      <c r="BP435" s="512"/>
      <c r="BQ435" s="512"/>
      <c r="BR435" s="512"/>
      <c r="BS435" s="505">
        <f>(BK435+BV444)*BK438</f>
        <v>0.24859598475158257</v>
      </c>
      <c r="BT435" s="503">
        <f>BM434</f>
        <v>-1</v>
      </c>
      <c r="BU435" s="503">
        <f>IF(BV444&lt;100,1,-1)</f>
        <v>1</v>
      </c>
      <c r="BV435" s="513">
        <f>BV434+BK442</f>
        <v>-6.5482773608463773E-2</v>
      </c>
      <c r="BW435" s="502"/>
      <c r="BX435" s="502"/>
      <c r="BY435" s="797"/>
      <c r="BZ435" s="797"/>
      <c r="CA435" s="797"/>
      <c r="CB435" s="797"/>
      <c r="CC435" s="797"/>
      <c r="CD435" s="797"/>
      <c r="CE435" s="797"/>
      <c r="CF435" s="797"/>
      <c r="CG435" s="797"/>
      <c r="CH435" s="797"/>
      <c r="CI435" s="797"/>
      <c r="CJ435" s="797"/>
      <c r="CK435" s="797"/>
      <c r="CL435" s="797"/>
      <c r="CM435" s="797"/>
      <c r="CN435" s="797"/>
      <c r="CO435" s="797"/>
      <c r="CP435" s="797"/>
      <c r="CQ435" s="797"/>
      <c r="CR435" s="797"/>
      <c r="CS435" s="797"/>
      <c r="CT435" s="797"/>
      <c r="CU435" s="797"/>
    </row>
    <row r="436" spans="1:99" x14ac:dyDescent="0.25">
      <c r="A436" s="277">
        <f>(O433*-1-O432)+A431</f>
        <v>204.35586386356695</v>
      </c>
      <c r="B436" s="154">
        <f>(B433+B432)/2</f>
        <v>220.32265793313317</v>
      </c>
      <c r="C436" s="154">
        <f>(B432+A434)/2</f>
        <v>215.31862236222563</v>
      </c>
      <c r="D436" s="154">
        <f>D432</f>
        <v>3650989192.3795972</v>
      </c>
      <c r="E436" s="154">
        <f>(B433+A431)/2</f>
        <v>223.59834093289203</v>
      </c>
      <c r="F436" s="161">
        <f>(F438/O438)</f>
        <v>18.431904697700084</v>
      </c>
      <c r="G436" s="161"/>
      <c r="H436" s="161"/>
      <c r="I436" s="161"/>
      <c r="J436" s="161"/>
      <c r="K436" s="161"/>
      <c r="L436" s="161"/>
      <c r="M436" s="161"/>
      <c r="N436" s="161"/>
      <c r="O436" s="152">
        <f>H432</f>
        <v>-1</v>
      </c>
      <c r="P436" s="152">
        <f>IF(Q444&lt;0,-1,1)</f>
        <v>-1</v>
      </c>
      <c r="Q436" s="174">
        <f>Q413</f>
        <v>1319.3792127587394</v>
      </c>
      <c r="R436" s="171"/>
      <c r="S436" s="151"/>
      <c r="T436" s="277">
        <f>(AH433*-1-AH432)+T431</f>
        <v>203.92145924681412</v>
      </c>
      <c r="U436" s="154">
        <f>(U433+U432)/2</f>
        <v>219.60562942593265</v>
      </c>
      <c r="V436" s="154">
        <f>(U432+T434)/2</f>
        <v>214.63556036469032</v>
      </c>
      <c r="W436" s="154">
        <f>W432</f>
        <v>9355418276.8198948</v>
      </c>
      <c r="X436" s="154">
        <f>(U433+T431)/2</f>
        <v>222.94619972416871</v>
      </c>
      <c r="Y436" s="161">
        <f>(Y438/AH438)</f>
        <v>1.1692894221085777</v>
      </c>
      <c r="Z436" s="161"/>
      <c r="AA436" s="161"/>
      <c r="AB436" s="161"/>
      <c r="AC436" s="161"/>
      <c r="AD436" s="161"/>
      <c r="AE436" s="161"/>
      <c r="AF436" s="161"/>
      <c r="AG436" s="161"/>
      <c r="AH436" s="152">
        <f>AA432</f>
        <v>-1</v>
      </c>
      <c r="AI436" s="152">
        <f>IF(AJ444&lt;0,-1,1)</f>
        <v>-1</v>
      </c>
      <c r="AJ436" s="174">
        <f>AJ413</f>
        <v>1319.3792127587394</v>
      </c>
      <c r="AK436" s="171"/>
      <c r="AL436" s="151"/>
      <c r="AM436" s="616">
        <f>(BA433*-1-BA432)+AM431</f>
        <v>204.29540941458538</v>
      </c>
      <c r="AN436" s="505">
        <f>(AN433+AN432)/2</f>
        <v>219.78348181368114</v>
      </c>
      <c r="AO436" s="505">
        <f>(AN432+AM434)/2</f>
        <v>214.80298931630927</v>
      </c>
      <c r="AP436" s="505">
        <f>AP432</f>
        <v>32242088608.092464</v>
      </c>
      <c r="AQ436" s="505">
        <f>(AN433+AM431)/2</f>
        <v>223.24555373321999</v>
      </c>
      <c r="AR436" s="512">
        <f>(AR438/BA438)</f>
        <v>360.54906629492177</v>
      </c>
      <c r="AS436" s="512"/>
      <c r="AT436" s="512"/>
      <c r="AU436" s="512"/>
      <c r="AV436" s="512"/>
      <c r="AW436" s="512"/>
      <c r="AX436" s="512"/>
      <c r="AY436" s="512"/>
      <c r="AZ436" s="512"/>
      <c r="BA436" s="503">
        <f>AT432</f>
        <v>-1</v>
      </c>
      <c r="BB436" s="503">
        <f>IF(BC444&lt;0,-1,1)</f>
        <v>-1</v>
      </c>
      <c r="BC436" s="524">
        <f>BC413</f>
        <v>1053.1057846634974</v>
      </c>
      <c r="BD436" s="502"/>
      <c r="BE436" s="502"/>
      <c r="BF436" s="616">
        <f>(BT433*-1-BT432)+BF431</f>
        <v>204.78323278733387</v>
      </c>
      <c r="BG436" s="505">
        <f>(BG433+BG432)/2</f>
        <v>220.55940674098073</v>
      </c>
      <c r="BH436" s="505">
        <f>(BG432+BF434)/2</f>
        <v>215.54197555467707</v>
      </c>
      <c r="BI436" s="505">
        <f>BI432</f>
        <v>14468934973.106262</v>
      </c>
      <c r="BJ436" s="505">
        <f>(BG433+BF431)/2</f>
        <v>223.96053993334056</v>
      </c>
      <c r="BK436" s="512">
        <f>(BK438/BT438)</f>
        <v>0.50312843197763135</v>
      </c>
      <c r="BL436" s="512"/>
      <c r="BM436" s="512"/>
      <c r="BN436" s="512"/>
      <c r="BO436" s="512"/>
      <c r="BP436" s="512"/>
      <c r="BQ436" s="512"/>
      <c r="BR436" s="512"/>
      <c r="BS436" s="512"/>
      <c r="BT436" s="503">
        <f>BM432</f>
        <v>-1</v>
      </c>
      <c r="BU436" s="503">
        <f>IF(BV444&lt;0,-1,1)</f>
        <v>-1</v>
      </c>
      <c r="BV436" s="524">
        <f>BV413</f>
        <v>1053.1057846634974</v>
      </c>
      <c r="BW436" s="502"/>
      <c r="BX436" s="502"/>
      <c r="BY436" s="797"/>
      <c r="BZ436" s="797"/>
      <c r="CA436" s="797"/>
      <c r="CB436" s="797"/>
      <c r="CC436" s="797"/>
      <c r="CD436" s="797"/>
      <c r="CE436" s="797"/>
      <c r="CF436" s="797"/>
      <c r="CG436" s="797"/>
      <c r="CH436" s="797"/>
      <c r="CI436" s="797"/>
      <c r="CJ436" s="797"/>
      <c r="CK436" s="797"/>
      <c r="CL436" s="797"/>
      <c r="CM436" s="797"/>
      <c r="CN436" s="797"/>
      <c r="CO436" s="797"/>
      <c r="CP436" s="797"/>
      <c r="CQ436" s="797"/>
      <c r="CR436" s="797"/>
      <c r="CS436" s="797"/>
      <c r="CT436" s="797"/>
      <c r="CU436" s="797"/>
    </row>
    <row r="437" spans="1:99" x14ac:dyDescent="0.25">
      <c r="A437" s="163">
        <f>(A436-A435)+A431-A433</f>
        <v>-48.493025280465275</v>
      </c>
      <c r="B437" s="163">
        <f>(A437*-1)+A438</f>
        <v>20.016142283630188</v>
      </c>
      <c r="C437" s="163">
        <f>(B437/2)+A432</f>
        <v>13.102731999035484</v>
      </c>
      <c r="D437" s="163">
        <f>(C445+C438+B444+B437+A432)*-1</f>
        <v>7.5521731136992507</v>
      </c>
      <c r="E437" s="163">
        <f>(C437*A432)*D437</f>
        <v>306.22938091904848</v>
      </c>
      <c r="F437" s="152">
        <f>(E437*A432)</f>
        <v>947.67607846101191</v>
      </c>
      <c r="G437" s="152">
        <f>(F437+E437)</f>
        <v>1253.9054593800604</v>
      </c>
      <c r="H437" s="161"/>
      <c r="I437" s="161"/>
      <c r="J437" s="161"/>
      <c r="K437" s="161"/>
      <c r="L437" s="161"/>
      <c r="M437" s="161"/>
      <c r="N437" s="161"/>
      <c r="O437" s="161">
        <v>785.5</v>
      </c>
      <c r="P437" s="152">
        <f>IF(N435&gt;-1,1,-1)</f>
        <v>-1</v>
      </c>
      <c r="Q437" s="149">
        <f>Q414</f>
        <v>0.32600000000000001</v>
      </c>
      <c r="R437" s="171"/>
      <c r="S437" s="151"/>
      <c r="T437" s="163">
        <f>(T436-T435)+T431-T433</f>
        <v>-47.989619077193851</v>
      </c>
      <c r="U437" s="163">
        <f>(T437*-1)+T438</f>
        <v>19.880276244969423</v>
      </c>
      <c r="V437" s="163">
        <f>(U437/2)+T432</f>
        <v>13.362281192944124</v>
      </c>
      <c r="W437" s="163">
        <f>(V445+V438+U444+U437+T432)*-1</f>
        <v>7.6751544087205339</v>
      </c>
      <c r="X437" s="163">
        <f>(V437*T432)*W437</f>
        <v>350.96668231904772</v>
      </c>
      <c r="Y437" s="152">
        <f>(X437*T432)</f>
        <v>1201.0581998602593</v>
      </c>
      <c r="Z437" s="152">
        <f>(Y437+X437)</f>
        <v>1552.024882179307</v>
      </c>
      <c r="AA437" s="161"/>
      <c r="AB437" s="161"/>
      <c r="AC437" s="161"/>
      <c r="AD437" s="161"/>
      <c r="AE437" s="161"/>
      <c r="AF437" s="161"/>
      <c r="AG437" s="161"/>
      <c r="AH437" s="161">
        <v>785.5</v>
      </c>
      <c r="AI437" s="152">
        <f>IF(AG435&gt;-1,1,-1)</f>
        <v>-1</v>
      </c>
      <c r="AJ437" s="149">
        <f>AJ414</f>
        <v>0.1797</v>
      </c>
      <c r="AK437" s="171"/>
      <c r="AL437" s="151"/>
      <c r="AM437" s="514">
        <f>(AM436-AM435)+AM431-AM433</f>
        <v>-47.861273632013024</v>
      </c>
      <c r="AN437" s="514">
        <f>(AM437*-1)+AM438</f>
        <v>19.921969989487536</v>
      </c>
      <c r="AO437" s="514">
        <f>(AN437/2)+AM432</f>
        <v>13.848287678155401</v>
      </c>
      <c r="AP437" s="514">
        <f>(AO445+AO438+AN444+AN437+AM432)*-1</f>
        <v>7.9202423385520788</v>
      </c>
      <c r="AQ437" s="514">
        <f>(AO437*AM432)*AP437</f>
        <v>426.36633363411818</v>
      </c>
      <c r="AR437" s="503">
        <f>(AQ437*AM432)</f>
        <v>1657.4149928522872</v>
      </c>
      <c r="AS437" s="503">
        <f>(AR437+AQ437)</f>
        <v>2083.7813264864053</v>
      </c>
      <c r="AT437" s="512"/>
      <c r="AU437" s="512"/>
      <c r="AV437" s="512"/>
      <c r="AW437" s="512"/>
      <c r="AX437" s="512"/>
      <c r="AY437" s="512"/>
      <c r="AZ437" s="512"/>
      <c r="BA437" s="512">
        <v>785.5</v>
      </c>
      <c r="BB437" s="503">
        <f>IF(AZ435&gt;-1,1,-1)</f>
        <v>-1</v>
      </c>
      <c r="BC437" s="500">
        <f>BC414</f>
        <v>0.32600000000000001</v>
      </c>
      <c r="BD437" s="502"/>
      <c r="BE437" s="502"/>
      <c r="BF437" s="514">
        <f>(BF436-BF435)+BF431-BF433</f>
        <v>-48.389476664620645</v>
      </c>
      <c r="BG437" s="514">
        <f>(BF437*-1)+BF438</f>
        <v>20.069724745214643</v>
      </c>
      <c r="BH437" s="514">
        <f>(BG437/2)+BF432</f>
        <v>13.604532769439245</v>
      </c>
      <c r="BI437" s="514">
        <f>(BH445+BH438+BG444+BG437+BF432)*-1</f>
        <v>7.8057526219803535</v>
      </c>
      <c r="BJ437" s="514">
        <f>(BH437*BF432)*BI437</f>
        <v>379.07621213634553</v>
      </c>
      <c r="BK437" s="503">
        <f>(BJ437*BF432)</f>
        <v>1353.1771326062913</v>
      </c>
      <c r="BL437" s="503">
        <f>(BK437+BJ437)</f>
        <v>1732.2533447426367</v>
      </c>
      <c r="BM437" s="512"/>
      <c r="BN437" s="512"/>
      <c r="BO437" s="512"/>
      <c r="BP437" s="512"/>
      <c r="BQ437" s="512"/>
      <c r="BR437" s="512"/>
      <c r="BS437" s="512"/>
      <c r="BT437" s="512">
        <v>785.5</v>
      </c>
      <c r="BU437" s="503">
        <f>IF(BS435&gt;-1,1,-1)</f>
        <v>1</v>
      </c>
      <c r="BV437" s="500">
        <f>BV414</f>
        <v>0.1797</v>
      </c>
      <c r="BW437" s="502"/>
      <c r="BX437" s="502"/>
      <c r="BY437" s="797"/>
      <c r="BZ437" s="797"/>
      <c r="CA437" s="797"/>
      <c r="CB437" s="797"/>
      <c r="CC437" s="797"/>
      <c r="CD437" s="797"/>
      <c r="CE437" s="797"/>
      <c r="CF437" s="797"/>
      <c r="CG437" s="797"/>
      <c r="CH437" s="797"/>
      <c r="CI437" s="797"/>
      <c r="CJ437" s="797"/>
      <c r="CK437" s="797"/>
      <c r="CL437" s="797"/>
      <c r="CM437" s="797"/>
      <c r="CN437" s="797"/>
      <c r="CO437" s="797"/>
      <c r="CP437" s="797"/>
      <c r="CQ437" s="797"/>
      <c r="CR437" s="797"/>
      <c r="CS437" s="797"/>
      <c r="CT437" s="797"/>
      <c r="CU437" s="797"/>
    </row>
    <row r="438" spans="1:99" x14ac:dyDescent="0.25">
      <c r="A438" s="163">
        <f>(A436-A435)+A431-A434</f>
        <v>-28.476882996835087</v>
      </c>
      <c r="B438" s="163">
        <f>A439+(A438*-1)+A437</f>
        <v>-96.986050560930551</v>
      </c>
      <c r="C438" s="154">
        <f>(B438/10)</f>
        <v>-9.6986050560930543</v>
      </c>
      <c r="D438" s="154"/>
      <c r="E438" s="154"/>
      <c r="F438" s="161">
        <f>(Q444*-1)</f>
        <v>34.965968328201477</v>
      </c>
      <c r="G438" s="161"/>
      <c r="H438" s="161"/>
      <c r="I438" s="161"/>
      <c r="J438" s="161"/>
      <c r="K438" s="161"/>
      <c r="L438" s="161"/>
      <c r="M438" s="161"/>
      <c r="N438" s="161"/>
      <c r="O438" s="161">
        <f>(H446/1000)*8.9</f>
        <v>1.897035</v>
      </c>
      <c r="P438" s="152">
        <f>(P440+O442)/2</f>
        <v>1276.7979545299752</v>
      </c>
      <c r="Q438" s="149">
        <f>H446/(Q445*1000)</f>
        <v>0.11218421052631579</v>
      </c>
      <c r="R438" s="171"/>
      <c r="S438" s="151"/>
      <c r="T438" s="163">
        <f>(T436-T435)+T431-T434</f>
        <v>-28.109342832224428</v>
      </c>
      <c r="U438" s="163">
        <f>T439+(T438*-1)+T437</f>
        <v>-95.979238154387701</v>
      </c>
      <c r="V438" s="154">
        <f>(U438/10)</f>
        <v>-9.5979238154387705</v>
      </c>
      <c r="W438" s="154"/>
      <c r="X438" s="154"/>
      <c r="Y438" s="161">
        <f>(AJ444*-1)</f>
        <v>1.2227844131700452</v>
      </c>
      <c r="Z438" s="161"/>
      <c r="AA438" s="161"/>
      <c r="AB438" s="161"/>
      <c r="AC438" s="161"/>
      <c r="AD438" s="161"/>
      <c r="AE438" s="161"/>
      <c r="AF438" s="161"/>
      <c r="AG438" s="161"/>
      <c r="AH438" s="161">
        <f>(AA446/1000)*8.9</f>
        <v>1.04575</v>
      </c>
      <c r="AI438" s="152">
        <f>(AI440+AH442)/2</f>
        <v>1275.9113398366901</v>
      </c>
      <c r="AJ438" s="149">
        <f>AA446/(AJ445*1000)</f>
        <v>0.11190476190476191</v>
      </c>
      <c r="AK438" s="171"/>
      <c r="AL438" s="151"/>
      <c r="AM438" s="514">
        <f>(AM436-AM435)+AM431-AM434</f>
        <v>-27.939303642525488</v>
      </c>
      <c r="AN438" s="514">
        <f>AM439+(AM438*-1)+AM437</f>
        <v>-95.722547264026048</v>
      </c>
      <c r="AO438" s="505">
        <f>(AN438/10)</f>
        <v>-9.5722547264026048</v>
      </c>
      <c r="AP438" s="505"/>
      <c r="AQ438" s="505"/>
      <c r="AR438" s="512">
        <f>(BC444*-1)</f>
        <v>543.20033888739886</v>
      </c>
      <c r="AS438" s="512"/>
      <c r="AT438" s="512"/>
      <c r="AU438" s="512"/>
      <c r="AV438" s="512"/>
      <c r="AW438" s="512"/>
      <c r="AX438" s="512"/>
      <c r="AY438" s="512"/>
      <c r="AZ438" s="512"/>
      <c r="BA438" s="512">
        <f>(AT446/1000)*8.9</f>
        <v>1.5065920000000002</v>
      </c>
      <c r="BB438" s="503">
        <f>(BB440+BA442)/2</f>
        <v>1012.2482258309836</v>
      </c>
      <c r="BC438" s="500">
        <f>AT446/(BC445*1000)</f>
        <v>0.11210596026490066</v>
      </c>
      <c r="BD438" s="502"/>
      <c r="BE438" s="502"/>
      <c r="BF438" s="514">
        <f>(BF436-BF435)+BF431-BF434</f>
        <v>-28.319751919406002</v>
      </c>
      <c r="BG438" s="514">
        <f>BF439+(BF438*-1)+BF437</f>
        <v>-96.77895332924129</v>
      </c>
      <c r="BH438" s="505">
        <f>(BG438/10)</f>
        <v>-9.6778953329241286</v>
      </c>
      <c r="BI438" s="505"/>
      <c r="BJ438" s="505"/>
      <c r="BK438" s="512">
        <f>(BV444*-1)</f>
        <v>0.41782753449171178</v>
      </c>
      <c r="BL438" s="512"/>
      <c r="BM438" s="512"/>
      <c r="BN438" s="512"/>
      <c r="BO438" s="512"/>
      <c r="BP438" s="512"/>
      <c r="BQ438" s="512"/>
      <c r="BR438" s="512"/>
      <c r="BS438" s="512"/>
      <c r="BT438" s="512">
        <f>(BM446/1000)*8.9</f>
        <v>0.83045900000000006</v>
      </c>
      <c r="BU438" s="503">
        <f>(BU440+BT442)/2</f>
        <v>1012.9281615128325</v>
      </c>
      <c r="BV438" s="500">
        <f>BM446/(BV445*1000)</f>
        <v>0.11242168674698795</v>
      </c>
      <c r="BW438" s="502"/>
      <c r="BX438" s="502"/>
      <c r="BY438" s="797"/>
      <c r="BZ438" s="797"/>
      <c r="CA438" s="797"/>
      <c r="CB438" s="797"/>
      <c r="CC438" s="797"/>
      <c r="CD438" s="797"/>
      <c r="CE438" s="797"/>
      <c r="CF438" s="797"/>
      <c r="CG438" s="797"/>
      <c r="CH438" s="797"/>
      <c r="CI438" s="797"/>
      <c r="CJ438" s="797"/>
      <c r="CK438" s="797"/>
      <c r="CL438" s="797"/>
      <c r="CM438" s="797"/>
      <c r="CN438" s="797"/>
      <c r="CO438" s="797"/>
      <c r="CP438" s="797"/>
      <c r="CQ438" s="797"/>
      <c r="CR438" s="797"/>
      <c r="CS438" s="797"/>
      <c r="CT438" s="797"/>
      <c r="CU438" s="797"/>
    </row>
    <row r="439" spans="1:99" x14ac:dyDescent="0.25">
      <c r="A439" s="163">
        <f>(A438+A437)</f>
        <v>-76.969908277300362</v>
      </c>
      <c r="B439" s="154"/>
      <c r="C439" s="154">
        <f>((F439+E439*-1)+E443)*10-A432+O439*-1-C435*111</f>
        <v>10.572508588427015</v>
      </c>
      <c r="D439" s="154"/>
      <c r="E439" s="154">
        <f>(E443+O439+F439)</f>
        <v>-0.17442674790827528</v>
      </c>
      <c r="F439" s="161">
        <f>(O439*E443)</f>
        <v>5.4180017420804214</v>
      </c>
      <c r="G439" s="161"/>
      <c r="H439" s="191">
        <f>(P440+H440)/2</f>
        <v>974.2525451328645</v>
      </c>
      <c r="I439" s="161"/>
      <c r="J439" s="161"/>
      <c r="K439" s="161"/>
      <c r="L439" s="161"/>
      <c r="M439" s="161"/>
      <c r="N439" s="161">
        <f>(A435-A431)-(A431-B436)</f>
        <v>15.96679406956622</v>
      </c>
      <c r="O439" s="152">
        <f>(P439+A432+C435*10)</f>
        <v>-1.2467587400414337</v>
      </c>
      <c r="P439" s="161">
        <f>E443</f>
        <v>-4.3456697499472625</v>
      </c>
      <c r="Q439" s="162">
        <f>(Q435*Q434*10)</f>
        <v>-10.458134567393538</v>
      </c>
      <c r="R439" s="171"/>
      <c r="S439" s="151"/>
      <c r="T439" s="163">
        <f>(T438+T437)</f>
        <v>-76.098961909418279</v>
      </c>
      <c r="U439" s="154"/>
      <c r="V439" s="154">
        <f>((Y439+X439*-1)+X443)*10-T432+AH439*-1-V435*111</f>
        <v>10.17059784981015</v>
      </c>
      <c r="W439" s="154"/>
      <c r="X439" s="154">
        <f>(X443+AH439+Y439)</f>
        <v>-0.12368476995987798</v>
      </c>
      <c r="Y439" s="161">
        <f>(AH439*X443)</f>
        <v>5.7801014737385099</v>
      </c>
      <c r="Z439" s="161"/>
      <c r="AA439" s="191">
        <f>(AI440+AA440)/2</f>
        <v>973.51768201887739</v>
      </c>
      <c r="AB439" s="161"/>
      <c r="AC439" s="161"/>
      <c r="AD439" s="161"/>
      <c r="AE439" s="161"/>
      <c r="AF439" s="161"/>
      <c r="AG439" s="161">
        <f>(T435-T431)-(T431-U436)</f>
        <v>15.684170179118524</v>
      </c>
      <c r="AH439" s="152">
        <f>(AI439+T432+V435*10)</f>
        <v>-1.2391259079283792</v>
      </c>
      <c r="AI439" s="161">
        <f>X443</f>
        <v>-4.6646603357700087</v>
      </c>
      <c r="AJ439" s="162">
        <f>(AJ435*AJ434*10)</f>
        <v>3.2271095380953376</v>
      </c>
      <c r="AK439" s="171"/>
      <c r="AL439" s="151"/>
      <c r="AM439" s="514">
        <f>(AM438+AM437)</f>
        <v>-75.800577274538512</v>
      </c>
      <c r="AN439" s="505"/>
      <c r="AO439" s="505">
        <f>((AR439+AQ439*-1)+AQ443)*10-AM432+BA439*-1-AO435*111</f>
        <v>9.7539563041531689</v>
      </c>
      <c r="AP439" s="505"/>
      <c r="AQ439" s="505">
        <f>(AQ443+BA439+AR439)</f>
        <v>2.6509725757151159E-3</v>
      </c>
      <c r="AR439" s="512">
        <f>(BA439*AQ443)</f>
        <v>6.3777069010439691</v>
      </c>
      <c r="AS439" s="512"/>
      <c r="AT439" s="542">
        <f>(BB440+AT440)/2</f>
        <v>772.41015633986945</v>
      </c>
      <c r="AU439" s="512"/>
      <c r="AV439" s="512"/>
      <c r="AW439" s="512"/>
      <c r="AX439" s="512"/>
      <c r="AY439" s="512"/>
      <c r="AZ439" s="512">
        <f>(AM435-AM431)-(AM431-AN436)</f>
        <v>15.488072399095756</v>
      </c>
      <c r="BA439" s="503">
        <f>(BB439+AM432+AO435*10)</f>
        <v>-1.2426301207136534</v>
      </c>
      <c r="BB439" s="512">
        <f>AQ443</f>
        <v>-5.1324258077546006</v>
      </c>
      <c r="BC439" s="513">
        <f>(BC435*BC434*10)</f>
        <v>-34.75540890486792</v>
      </c>
      <c r="BD439" s="502"/>
      <c r="BE439" s="502"/>
      <c r="BF439" s="514">
        <f>(BF438+BF437)</f>
        <v>-76.709228584026647</v>
      </c>
      <c r="BG439" s="505"/>
      <c r="BH439" s="505">
        <f>((BK439+BJ439*-1)+BJ443)*10-BF432+BT439*-1-BH435*111</f>
        <v>10.16146887805818</v>
      </c>
      <c r="BI439" s="505"/>
      <c r="BJ439" s="505">
        <f>(BJ443+BT439+BK439)</f>
        <v>-3.8886607947996588E-2</v>
      </c>
      <c r="BK439" s="512">
        <f>(BT439*BJ443)</f>
        <v>6.0364769165405345</v>
      </c>
      <c r="BL439" s="512"/>
      <c r="BM439" s="542">
        <f>(BU440+BM440)/2</f>
        <v>772.97946230782406</v>
      </c>
      <c r="BN439" s="512"/>
      <c r="BO439" s="512"/>
      <c r="BP439" s="512"/>
      <c r="BQ439" s="512"/>
      <c r="BR439" s="512"/>
      <c r="BS439" s="512">
        <f>(BF435-BF431)-(BF431-BG436)</f>
        <v>15.776173953646861</v>
      </c>
      <c r="BT439" s="503">
        <f>(BU439+BF432+BH435*10)</f>
        <v>-1.2513353310806761</v>
      </c>
      <c r="BU439" s="512">
        <f>BJ443</f>
        <v>-4.8240281934078553</v>
      </c>
      <c r="BV439" s="513">
        <f>(BV435*BV434*10)</f>
        <v>1.997866224789993</v>
      </c>
      <c r="BW439" s="502"/>
      <c r="BX439" s="502"/>
      <c r="BY439" s="797"/>
      <c r="BZ439" s="797"/>
      <c r="CA439" s="797"/>
      <c r="CB439" s="797"/>
      <c r="CC439" s="797"/>
      <c r="CD439" s="797"/>
      <c r="CE439" s="797"/>
      <c r="CF439" s="797"/>
      <c r="CG439" s="797"/>
      <c r="CH439" s="797"/>
      <c r="CI439" s="797"/>
      <c r="CJ439" s="797"/>
      <c r="CK439" s="797"/>
      <c r="CL439" s="797"/>
      <c r="CM439" s="797"/>
      <c r="CN439" s="797"/>
      <c r="CO439" s="797"/>
      <c r="CP439" s="797"/>
      <c r="CQ439" s="797"/>
      <c r="CR439" s="797"/>
      <c r="CS439" s="797"/>
      <c r="CT439" s="797"/>
      <c r="CU439" s="797"/>
    </row>
    <row r="440" spans="1:99" x14ac:dyDescent="0.25">
      <c r="A440" s="163">
        <f>(A431+A439)</f>
        <v>147.40209786989678</v>
      </c>
      <c r="B440" s="154">
        <f>(A431+A440)/2</f>
        <v>185.88705200854696</v>
      </c>
      <c r="C440" s="154">
        <f>(E436-A431)-(A431-B440)</f>
        <v>-39.258619352955293</v>
      </c>
      <c r="D440" s="163">
        <f>(B436+C436)/2</f>
        <v>217.8206401476794</v>
      </c>
      <c r="E440" s="163">
        <f>(A435+A441)</f>
        <v>449.51767750869942</v>
      </c>
      <c r="F440" s="191">
        <f>(G437*2)-G444</f>
        <v>2352.8566477765248</v>
      </c>
      <c r="G440" s="191">
        <f>(A432*F440)</f>
        <v>7281.2933705247933</v>
      </c>
      <c r="H440" s="191">
        <f>(N442+P440)/2</f>
        <v>649.83366736598919</v>
      </c>
      <c r="I440" s="191"/>
      <c r="J440" s="191"/>
      <c r="K440" s="191"/>
      <c r="L440" s="191"/>
      <c r="M440" s="191"/>
      <c r="N440" s="191">
        <f>(O440+O441)/2</f>
        <v>1318.0265861428306</v>
      </c>
      <c r="O440" s="152">
        <f>(A434+C436)/2*Q445/Q437</f>
        <v>1247.6333300369556</v>
      </c>
      <c r="P440" s="152">
        <f>B433*Q445/Q437</f>
        <v>1298.6714228997398</v>
      </c>
      <c r="Q440" s="149">
        <f>(A436+B433)/2</f>
        <v>213.59026979107693</v>
      </c>
      <c r="R440" s="171"/>
      <c r="S440" s="151"/>
      <c r="T440" s="163">
        <f>(T431+T439)</f>
        <v>147.70277358236527</v>
      </c>
      <c r="U440" s="154">
        <f>(T431+T440)/2</f>
        <v>185.75225453707441</v>
      </c>
      <c r="V440" s="154">
        <f>(X436-T431)-(T431-U440)</f>
        <v>-38.905016722323978</v>
      </c>
      <c r="W440" s="163">
        <f>(U436+V436)/2</f>
        <v>217.12059489531148</v>
      </c>
      <c r="X440" s="163">
        <f>(T435+T441)</f>
        <v>448.45900675118196</v>
      </c>
      <c r="Y440" s="191">
        <f>(Z437*2)-Z444</f>
        <v>2948.6718363675282</v>
      </c>
      <c r="Z440" s="191">
        <f>(T432*Y440)</f>
        <v>10090.776891883968</v>
      </c>
      <c r="AA440" s="191">
        <f>(AG442+AI440)/2</f>
        <v>649.34367147024466</v>
      </c>
      <c r="AB440" s="191"/>
      <c r="AC440" s="191"/>
      <c r="AD440" s="191"/>
      <c r="AE440" s="191"/>
      <c r="AF440" s="191"/>
      <c r="AG440" s="191">
        <f>(AH440+AH441)/2</f>
        <v>1317.0917257363424</v>
      </c>
      <c r="AH440" s="152">
        <f>(T434+V436)/2*AJ445/AJ437</f>
        <v>1246.8708695289299</v>
      </c>
      <c r="AI440" s="152">
        <f>U433*AJ445/AJ437</f>
        <v>1297.69169256751</v>
      </c>
      <c r="AJ440" s="149">
        <f>(T436+U433)/2</f>
        <v>213.006061601684</v>
      </c>
      <c r="AK440" s="171"/>
      <c r="AL440" s="151"/>
      <c r="AM440" s="514">
        <f>(AM431+AM439)</f>
        <v>148.4168021295344</v>
      </c>
      <c r="AN440" s="505">
        <f>(AM431+AM440)/2</f>
        <v>186.31709076680366</v>
      </c>
      <c r="AO440" s="505">
        <f>(AQ436-AM431)-(AM431-AN440)</f>
        <v>-38.872114308122178</v>
      </c>
      <c r="AP440" s="514">
        <f>(AN436+AO436)/2</f>
        <v>217.2932355649952</v>
      </c>
      <c r="AQ440" s="514">
        <f>(AM435+AM441)</f>
        <v>449.40658447899875</v>
      </c>
      <c r="AR440" s="542">
        <f>(AS437*2)-AS444</f>
        <v>4011.2256085047243</v>
      </c>
      <c r="AS440" s="542">
        <f>(AM432*AR440)</f>
        <v>15592.848071709876</v>
      </c>
      <c r="AT440" s="542">
        <f>(AZ442+BB440)/2</f>
        <v>515.27022257490978</v>
      </c>
      <c r="AU440" s="542"/>
      <c r="AV440" s="542"/>
      <c r="AW440" s="542"/>
      <c r="AX440" s="542"/>
      <c r="AY440" s="542"/>
      <c r="AZ440" s="542">
        <f>(BA440+BA441)/2</f>
        <v>1045.0936606113987</v>
      </c>
      <c r="BA440" s="503">
        <f>(AM434+AO436)/2*BC445/BC437</f>
        <v>989.17907346585605</v>
      </c>
      <c r="BB440" s="503">
        <f>AN433*BC445/BC437</f>
        <v>1029.5500901048292</v>
      </c>
      <c r="BC440" s="500">
        <f>(AM436+AN433)/2</f>
        <v>213.28456873847625</v>
      </c>
      <c r="BD440" s="502"/>
      <c r="BE440" s="502"/>
      <c r="BF440" s="514">
        <f>(BF431+BF439)</f>
        <v>148.14372894852187</v>
      </c>
      <c r="BG440" s="505">
        <f>(BF431+BF440)/2</f>
        <v>186.49834324053518</v>
      </c>
      <c r="BH440" s="505">
        <f>(BJ436-BF431)-(BF431-BG440)</f>
        <v>-39.247031891221297</v>
      </c>
      <c r="BI440" s="514">
        <f>(BG436+BH436)/2</f>
        <v>218.0506911478289</v>
      </c>
      <c r="BJ440" s="514">
        <f>(BF435+BF441)</f>
        <v>450.59833266430502</v>
      </c>
      <c r="BK440" s="542">
        <f>(BL437*2)-BL444</f>
        <v>3308.5572079147714</v>
      </c>
      <c r="BL440" s="542">
        <f>(BF432*BK440)</f>
        <v>11810.458721318246</v>
      </c>
      <c r="BM440" s="542">
        <f>(BS442+BU440)/2</f>
        <v>515.64984538732301</v>
      </c>
      <c r="BN440" s="542"/>
      <c r="BO440" s="542"/>
      <c r="BP440" s="542"/>
      <c r="BQ440" s="542"/>
      <c r="BR440" s="542"/>
      <c r="BS440" s="542">
        <f>(BT440+BT441)/2</f>
        <v>1045.8236539624968</v>
      </c>
      <c r="BT440" s="503">
        <f>(BF434+BH436)/2*BV445/BV437</f>
        <v>989.7536045588422</v>
      </c>
      <c r="BU440" s="503">
        <f>BG433*BV445/BV437</f>
        <v>1030.3090792283251</v>
      </c>
      <c r="BV440" s="500">
        <f>(BF436+BG433)/2</f>
        <v>213.92567756073322</v>
      </c>
      <c r="BW440" s="502"/>
      <c r="BX440" s="502"/>
      <c r="BY440" s="797"/>
      <c r="BZ440" s="797"/>
      <c r="CA440" s="797"/>
      <c r="CB440" s="797"/>
      <c r="CC440" s="797"/>
      <c r="CD440" s="797"/>
      <c r="CE440" s="797"/>
      <c r="CF440" s="797"/>
      <c r="CG440" s="797"/>
      <c r="CH440" s="797"/>
      <c r="CI440" s="797"/>
      <c r="CJ440" s="797"/>
      <c r="CK440" s="797"/>
      <c r="CL440" s="797"/>
      <c r="CM440" s="797"/>
      <c r="CN440" s="797"/>
      <c r="CO440" s="797"/>
      <c r="CP440" s="797"/>
      <c r="CQ440" s="797"/>
      <c r="CR440" s="797"/>
      <c r="CS440" s="797"/>
      <c r="CT440" s="797"/>
      <c r="CU440" s="797"/>
    </row>
    <row r="441" spans="1:99" x14ac:dyDescent="0.25">
      <c r="A441" s="163">
        <f>((A436+A435+A434+A433)/4-A436-A431)*-1</f>
        <v>205.12952907787206</v>
      </c>
      <c r="B441" s="154">
        <f>(B436+C436)/2</f>
        <v>217.8206401476794</v>
      </c>
      <c r="C441" s="154">
        <f>(E443+A432)</f>
        <v>-1.2510088927268725</v>
      </c>
      <c r="D441" s="163">
        <f>(A443+D442+A435+D442)/2</f>
        <v>379.21341071979418</v>
      </c>
      <c r="E441" s="163">
        <f>(A436+D442+A435)/3</f>
        <v>201.13066685447168</v>
      </c>
      <c r="F441" s="191">
        <f>(O441+P440)/2</f>
        <v>1343.5456325742225</v>
      </c>
      <c r="G441" s="149"/>
      <c r="H441" s="191">
        <f>(O441+P440+N440)/3</f>
        <v>1335.0392837637585</v>
      </c>
      <c r="I441" s="191"/>
      <c r="J441" s="191"/>
      <c r="K441" s="191"/>
      <c r="L441" s="191"/>
      <c r="M441" s="191"/>
      <c r="N441" s="191">
        <f>((A441+A435)/2)*Q445/Q437</f>
        <v>1309.9441522492773</v>
      </c>
      <c r="O441" s="152">
        <f>((A442+A433)/2)*Q445/Q437</f>
        <v>1388.4198422487054</v>
      </c>
      <c r="P441" s="152">
        <f>B432*Q445/Q437</f>
        <v>1269.5067984067202</v>
      </c>
      <c r="Q441" s="162">
        <f>A432+E443</f>
        <v>-1.2510088927268725</v>
      </c>
      <c r="R441" s="171"/>
      <c r="S441" s="151"/>
      <c r="T441" s="163">
        <f>((T436+T435+T434+T433)/4-T436-T431)*-1</f>
        <v>204.77699501442896</v>
      </c>
      <c r="U441" s="154">
        <f>(U436+V436)/2</f>
        <v>217.12059489531148</v>
      </c>
      <c r="V441" s="154">
        <f>(X443+T432)</f>
        <v>-1.242517265310596</v>
      </c>
      <c r="W441" s="163">
        <f>(T443+W442+T435+W442)/2</f>
        <v>378.5239862920443</v>
      </c>
      <c r="X441" s="163">
        <f>(T436+W442+T435)/3</f>
        <v>200.70394594730806</v>
      </c>
      <c r="Y441" s="191">
        <f>(AH441+AI440)/2</f>
        <v>1342.5021372556325</v>
      </c>
      <c r="Z441" s="149"/>
      <c r="AA441" s="191">
        <f>(AH441+AI440+AG440)/3</f>
        <v>1334.0320000825359</v>
      </c>
      <c r="AB441" s="191"/>
      <c r="AC441" s="191"/>
      <c r="AD441" s="191"/>
      <c r="AE441" s="191"/>
      <c r="AF441" s="191"/>
      <c r="AG441" s="191">
        <f>((T441+T435)/2)*AJ445/AJ437</f>
        <v>1310.1890848323349</v>
      </c>
      <c r="AH441" s="152">
        <f>((T442+T433)/2)*AJ445/AJ437</f>
        <v>1387.3125819437548</v>
      </c>
      <c r="AI441" s="152">
        <f>U432*AJ445/AJ437</f>
        <v>1268.6512222597498</v>
      </c>
      <c r="AJ441" s="162">
        <f>T432+X443</f>
        <v>-1.242517265310596</v>
      </c>
      <c r="AK441" s="171"/>
      <c r="AL441" s="151"/>
      <c r="AM441" s="514">
        <f>((AM436+AM435+AM434+AM433)/4-AM436-AM431)*-1</f>
        <v>205.2672350854383</v>
      </c>
      <c r="AN441" s="505">
        <f>(AN436+AO436)/2</f>
        <v>217.2932355649952</v>
      </c>
      <c r="AO441" s="505">
        <f>(AQ443+AM432)</f>
        <v>-1.2451231243429675</v>
      </c>
      <c r="AP441" s="514">
        <f>(AM443+AP442+AM435+AP442)/2</f>
        <v>379.40063623717157</v>
      </c>
      <c r="AQ441" s="514">
        <f>(AM436+AP442+AM435)/3</f>
        <v>201.12501974117708</v>
      </c>
      <c r="AR441" s="542">
        <f>(BA441+BB440)/2</f>
        <v>1065.2791689308851</v>
      </c>
      <c r="AS441" s="500"/>
      <c r="AT441" s="542">
        <f>(BA441+BB440+AZ440)/3</f>
        <v>1058.5506661577231</v>
      </c>
      <c r="AU441" s="542"/>
      <c r="AV441" s="542"/>
      <c r="AW441" s="542"/>
      <c r="AX441" s="542"/>
      <c r="AY441" s="542"/>
      <c r="AZ441" s="542">
        <f>((AM441+AM435)/2)*BC445/BC437</f>
        <v>1040.8035928884788</v>
      </c>
      <c r="BA441" s="503">
        <f>((AM442+AM433)/2)*BC445/BC437</f>
        <v>1101.0082477569413</v>
      </c>
      <c r="BB441" s="503">
        <f>AN432*BC445/BC437</f>
        <v>1006.4809377397017</v>
      </c>
      <c r="BC441" s="513">
        <f>AM432+AQ443</f>
        <v>-1.2451231243429675</v>
      </c>
      <c r="BD441" s="502"/>
      <c r="BE441" s="502"/>
      <c r="BF441" s="514">
        <f>((BF436+BF435+BF434+BF433)/4-BF436-BF431)*-1</f>
        <v>205.67565038654186</v>
      </c>
      <c r="BG441" s="505">
        <f>(BG436+BH436)/2</f>
        <v>218.0506911478289</v>
      </c>
      <c r="BH441" s="505">
        <f>(BJ443+BF432)</f>
        <v>-1.2543577965759312</v>
      </c>
      <c r="BI441" s="514">
        <f>(BF443+BI442+BF435+BI442)/2</f>
        <v>380.19387543306055</v>
      </c>
      <c r="BJ441" s="514">
        <f>(BF436+BI442+BF435)/3</f>
        <v>201.60790952193565</v>
      </c>
      <c r="BK441" s="542">
        <f>(BT441+BU440)/2</f>
        <v>1066.1013912972385</v>
      </c>
      <c r="BL441" s="500"/>
      <c r="BM441" s="542">
        <f>(BT441+BU440+BS440)/3</f>
        <v>1059.3421455189912</v>
      </c>
      <c r="BN441" s="542"/>
      <c r="BO441" s="542"/>
      <c r="BP441" s="542"/>
      <c r="BQ441" s="542"/>
      <c r="BR441" s="542"/>
      <c r="BS441" s="542">
        <f>((BF441+BF435)/2)*BV445/BV437</f>
        <v>1040.6138456076048</v>
      </c>
      <c r="BT441" s="503">
        <f>((BF442+BF433)/2)*BV445/BV437</f>
        <v>1101.8937033661516</v>
      </c>
      <c r="BU441" s="503">
        <f>BG432*BV445/BV437</f>
        <v>1007.1345222743349</v>
      </c>
      <c r="BV441" s="513">
        <f>BF432+BJ443</f>
        <v>-1.2543577965759312</v>
      </c>
      <c r="BW441" s="502"/>
      <c r="BX441" s="502"/>
      <c r="BY441" s="797"/>
      <c r="BZ441" s="797"/>
      <c r="CA441" s="797"/>
      <c r="CB441" s="797"/>
      <c r="CC441" s="797"/>
      <c r="CD441" s="797"/>
      <c r="CE441" s="797"/>
      <c r="CF441" s="797"/>
      <c r="CG441" s="797"/>
      <c r="CH441" s="797"/>
      <c r="CI441" s="797"/>
      <c r="CJ441" s="797"/>
      <c r="CK441" s="797"/>
      <c r="CL441" s="797"/>
      <c r="CM441" s="797"/>
      <c r="CN441" s="797"/>
      <c r="CO441" s="797"/>
      <c r="CP441" s="797"/>
      <c r="CQ441" s="797"/>
      <c r="CR441" s="797"/>
      <c r="CS441" s="797"/>
      <c r="CT441" s="797"/>
      <c r="CU441" s="797"/>
    </row>
    <row r="442" spans="1:99" x14ac:dyDescent="0.25">
      <c r="A442" s="163">
        <f>((A436+A435+A434+A433)/4-A436-A431*-1)</f>
        <v>243.61448321652222</v>
      </c>
      <c r="B442" s="154">
        <f>B433/2</f>
        <v>111.41233785929347</v>
      </c>
      <c r="C442" s="154">
        <f>(B432+C436)/2</f>
        <v>216.56963125495253</v>
      </c>
      <c r="D442" s="163">
        <f>(A441+A440+B442)/3</f>
        <v>154.64798826902077</v>
      </c>
      <c r="E442" s="163">
        <f>(A436+A435+B442)/3</f>
        <v>186.71878338456258</v>
      </c>
      <c r="F442" s="149">
        <f>E439+(C446*-1)-E439-E443</f>
        <v>2.9181783383742772</v>
      </c>
      <c r="G442" s="149"/>
      <c r="H442" s="191">
        <f>(P442+N442)/2</f>
        <v>455.89037075979553</v>
      </c>
      <c r="I442" s="149"/>
      <c r="J442" s="149"/>
      <c r="K442" s="149"/>
      <c r="L442" s="149"/>
      <c r="M442" s="149"/>
      <c r="N442" s="191">
        <f>((N441+N440)/2/Q436)</f>
        <v>0.99591183223858182</v>
      </c>
      <c r="O442" s="152">
        <f>((A434+D440)/2)*Q445/Q437</f>
        <v>1254.9244861602106</v>
      </c>
      <c r="P442" s="152">
        <f>((B442+E441)/2)*Q445/Q437</f>
        <v>910.7848296873525</v>
      </c>
      <c r="Q442" s="162">
        <f>(Q441*Q439/10)</f>
        <v>1.308321934514362</v>
      </c>
      <c r="R442" s="171"/>
      <c r="S442" s="151"/>
      <c r="T442" s="163">
        <f>((T436+T435+T434+T433)/4-T436-T431*-1)</f>
        <v>242.82647596913813</v>
      </c>
      <c r="U442" s="154">
        <f>U433/2</f>
        <v>111.04533197827692</v>
      </c>
      <c r="V442" s="154">
        <f>(U432+V436)/2</f>
        <v>215.87807763000092</v>
      </c>
      <c r="W442" s="163">
        <f>(T441+T440+U442)/3</f>
        <v>154.50836685835705</v>
      </c>
      <c r="X442" s="163">
        <f>(T436+T435+U442)/3</f>
        <v>186.21626765394799</v>
      </c>
      <c r="Y442" s="149">
        <f>X439+(V446*-1)-X439-X443</f>
        <v>2.8352581855801589</v>
      </c>
      <c r="Z442" s="149"/>
      <c r="AA442" s="191">
        <f>(AI442+AG442)/2</f>
        <v>455.89117774890508</v>
      </c>
      <c r="AB442" s="149"/>
      <c r="AC442" s="149"/>
      <c r="AD442" s="149"/>
      <c r="AE442" s="149"/>
      <c r="AF442" s="149"/>
      <c r="AG442" s="191">
        <f>((AG441+AG440)/2/AJ436)</f>
        <v>0.99565037297927306</v>
      </c>
      <c r="AH442" s="152">
        <f>((T434+W440)/2)*AJ445/AJ437</f>
        <v>1254.1309871058702</v>
      </c>
      <c r="AI442" s="152">
        <f>((U442+X441)/2)*AJ445/AJ437</f>
        <v>910.78670512483086</v>
      </c>
      <c r="AJ442" s="162">
        <f>(AJ441*AJ439/10)</f>
        <v>-0.40097393181319596</v>
      </c>
      <c r="AK442" s="171"/>
      <c r="AL442" s="151"/>
      <c r="AM442" s="514">
        <f>((AM436+AM435+AM434+AM433)/4-AM436-AM431*-1)</f>
        <v>243.16752372270753</v>
      </c>
      <c r="AN442" s="505">
        <f>AN433/2</f>
        <v>111.13686403118355</v>
      </c>
      <c r="AO442" s="505">
        <f>(AN432+AO436)/2</f>
        <v>216.04811244065223</v>
      </c>
      <c r="AP442" s="514">
        <f>(AM441+AM440+AN442)/3</f>
        <v>154.94030041538542</v>
      </c>
      <c r="AQ442" s="514">
        <f>(AM436+AM435+AN442)/3</f>
        <v>186.52387427977646</v>
      </c>
      <c r="AR442" s="500">
        <f>AQ439+(AO446*-1)-AQ439-AQ443</f>
        <v>3.8863821119077695</v>
      </c>
      <c r="AS442" s="500"/>
      <c r="AT442" s="542">
        <f>(BB442+AZ442)/2</f>
        <v>362.08677606257532</v>
      </c>
      <c r="AU442" s="500"/>
      <c r="AV442" s="500"/>
      <c r="AW442" s="500"/>
      <c r="AX442" s="500"/>
      <c r="AY442" s="500"/>
      <c r="AZ442" s="542">
        <f>((AZ441+AZ440)/2/BC436)</f>
        <v>0.99035504499027682</v>
      </c>
      <c r="BA442" s="503">
        <f>((AM434+AP440)/2)*BC445/BC437</f>
        <v>994.94636155713806</v>
      </c>
      <c r="BB442" s="503">
        <f>((AN442+AQ441)/2)*BC445/BC437</f>
        <v>723.18319708016043</v>
      </c>
      <c r="BC442" s="513">
        <f>(BC441*BC439/10)</f>
        <v>4.3274763323446539</v>
      </c>
      <c r="BD442" s="502"/>
      <c r="BE442" s="502"/>
      <c r="BF442" s="514">
        <f>((BF436+BF435+BF434+BF433)/4-BF436-BF431*-1)</f>
        <v>244.03026467855517</v>
      </c>
      <c r="BG442" s="505">
        <f>BG433/2</f>
        <v>111.53406116706628</v>
      </c>
      <c r="BH442" s="505">
        <f>(BG432+BH436)/2</f>
        <v>216.796333351253</v>
      </c>
      <c r="BI442" s="514">
        <f>(BF441+BF440+BG442)/3</f>
        <v>155.11781350071001</v>
      </c>
      <c r="BJ442" s="514">
        <f>(BF436+BF435+BG442)/3</f>
        <v>187.0799920773878</v>
      </c>
      <c r="BK442" s="500">
        <f>BJ439+(BH446*-1)-BJ439-BJ443</f>
        <v>2.9854970714660354</v>
      </c>
      <c r="BL442" s="500"/>
      <c r="BM442" s="542">
        <f>(BU442+BS442)/2</f>
        <v>362.08105378633735</v>
      </c>
      <c r="BN442" s="500"/>
      <c r="BO442" s="500"/>
      <c r="BP442" s="500"/>
      <c r="BQ442" s="500"/>
      <c r="BR442" s="500"/>
      <c r="BS442" s="542">
        <f>((BS441+BS440)/2/BV436)</f>
        <v>0.99061154632095605</v>
      </c>
      <c r="BT442" s="503">
        <f>((BF434+BI440)/2)*BV445/BV437</f>
        <v>995.54724379733989</v>
      </c>
      <c r="BU442" s="503">
        <f>((BG442+BJ441)/2)*BV445/BV437</f>
        <v>723.17149602635379</v>
      </c>
      <c r="BV442" s="513">
        <f>(BV441*BV439/10)</f>
        <v>-0.25060390755810497</v>
      </c>
      <c r="BW442" s="502"/>
      <c r="BX442" s="502"/>
      <c r="BY442" s="797"/>
      <c r="BZ442" s="797"/>
      <c r="CA442" s="797"/>
      <c r="CB442" s="797"/>
      <c r="CC442" s="797"/>
      <c r="CD442" s="797"/>
      <c r="CE442" s="797"/>
      <c r="CF442" s="797"/>
      <c r="CG442" s="797"/>
      <c r="CH442" s="797"/>
      <c r="CI442" s="797"/>
      <c r="CJ442" s="797"/>
      <c r="CK442" s="797"/>
      <c r="CL442" s="797"/>
      <c r="CM442" s="797"/>
      <c r="CN442" s="797"/>
      <c r="CO442" s="797"/>
      <c r="CP442" s="797"/>
      <c r="CQ442" s="797"/>
      <c r="CR442" s="797"/>
      <c r="CS442" s="797"/>
      <c r="CT442" s="797"/>
      <c r="CU442" s="797"/>
    </row>
    <row r="443" spans="1:99" x14ac:dyDescent="0.25">
      <c r="A443" s="163">
        <f>(A436+A441)/2</f>
        <v>204.74269647071952</v>
      </c>
      <c r="B443" s="154">
        <f>(A433+B435)/2</f>
        <v>230.33072907494827</v>
      </c>
      <c r="C443" s="154">
        <f>(A432*C435)</f>
        <v>1.3152781152837671E-3</v>
      </c>
      <c r="D443" s="154">
        <f>(A433+B443)/2</f>
        <v>231.58173796767517</v>
      </c>
      <c r="E443" s="154">
        <f>(D443-A431)-(A431-A434)</f>
        <v>-4.3456697499472625</v>
      </c>
      <c r="F443" s="191">
        <f>(N443+H443)/2</f>
        <v>1362.0734000930704</v>
      </c>
      <c r="G443" s="149"/>
      <c r="H443" s="314">
        <f>A442*Q445/Q437</f>
        <v>1419.8390126116324</v>
      </c>
      <c r="I443" s="149"/>
      <c r="J443" s="149"/>
      <c r="K443" s="149"/>
      <c r="L443" s="149"/>
      <c r="M443" s="149"/>
      <c r="N443" s="191">
        <f>(N441+P440)/2</f>
        <v>1304.3077875745084</v>
      </c>
      <c r="O443" s="152">
        <f>((E440+A440)/2)*Q445/Q437</f>
        <v>1739.4901429744368</v>
      </c>
      <c r="P443" s="152">
        <f>((E441+E443/10)/2)*Q445/Q437</f>
        <v>584.8505978082917</v>
      </c>
      <c r="Q443" s="163">
        <f>(Q442+C446)</f>
        <v>2.7358133460873475</v>
      </c>
      <c r="R443" s="171"/>
      <c r="S443" s="151"/>
      <c r="T443" s="163">
        <f>(T436+T441)/2</f>
        <v>204.34922713062156</v>
      </c>
      <c r="U443" s="154">
        <f>(T433+U435)/2</f>
        <v>229.54576754841736</v>
      </c>
      <c r="V443" s="154">
        <f>(T432*V435)</f>
        <v>1.1605710165004846E-3</v>
      </c>
      <c r="W443" s="154">
        <f>(T433+U443)/2</f>
        <v>230.78828481372796</v>
      </c>
      <c r="X443" s="154">
        <f>(W443-T431)-(T431-T434)</f>
        <v>-4.6646603357700087</v>
      </c>
      <c r="Y443" s="191">
        <f>(AG443+AA443)/2</f>
        <v>1361.3964597022014</v>
      </c>
      <c r="Z443" s="149"/>
      <c r="AA443" s="314">
        <f>T442*AJ445/AJ437</f>
        <v>1418.8525307044799</v>
      </c>
      <c r="AB443" s="149"/>
      <c r="AC443" s="149"/>
      <c r="AD443" s="149"/>
      <c r="AE443" s="149"/>
      <c r="AF443" s="149"/>
      <c r="AG443" s="191">
        <f>(AG441+AI440)/2</f>
        <v>1303.9403886999226</v>
      </c>
      <c r="AH443" s="152">
        <f>((X440+T440)/2)*AJ445/AJ437</f>
        <v>1741.708039371799</v>
      </c>
      <c r="AI443" s="152">
        <f>((X441+X443/10)/2)*AJ445/AJ437</f>
        <v>585.00098472292041</v>
      </c>
      <c r="AJ443" s="163">
        <f>(AJ442+V446)</f>
        <v>1.4284282183766539</v>
      </c>
      <c r="AK443" s="171"/>
      <c r="AL443" s="151"/>
      <c r="AM443" s="514">
        <f>(AM436+AM441)/2</f>
        <v>204.78132225001184</v>
      </c>
      <c r="AN443" s="505">
        <f>(AM433+AN435)/2</f>
        <v>229.74446680842493</v>
      </c>
      <c r="AO443" s="505">
        <f>(AM432*AO435)</f>
        <v>9.6910596979877031E-4</v>
      </c>
      <c r="AP443" s="505">
        <f>(AM433+AN443)/2</f>
        <v>230.9895899327679</v>
      </c>
      <c r="AQ443" s="505">
        <f>(AP443-AM431)-(AM431-AM434)</f>
        <v>-5.1324258077546006</v>
      </c>
      <c r="AR443" s="542">
        <f>(AZ443+AT443)/2</f>
        <v>1080.7524710877265</v>
      </c>
      <c r="AS443" s="500"/>
      <c r="AT443" s="650">
        <f>AM442*BC445/BC437</f>
        <v>1126.3281006787986</v>
      </c>
      <c r="AU443" s="500"/>
      <c r="AV443" s="500"/>
      <c r="AW443" s="500"/>
      <c r="AX443" s="500"/>
      <c r="AY443" s="500"/>
      <c r="AZ443" s="542">
        <f>(AZ441+BB440)/2</f>
        <v>1035.1768414966541</v>
      </c>
      <c r="BA443" s="503">
        <f>((AQ440+AM440)/2)*BC445/BC437</f>
        <v>1384.5296223602531</v>
      </c>
      <c r="BB443" s="503">
        <f>((AQ441+AQ443/10)/2)*BC445/BC437</f>
        <v>464.60702992669701</v>
      </c>
      <c r="BC443" s="514">
        <f>(BC442+AO446)</f>
        <v>5.573520028191485</v>
      </c>
      <c r="BD443" s="502"/>
      <c r="BE443" s="502"/>
      <c r="BF443" s="514">
        <f>(BF436+BF441)/2</f>
        <v>205.22944158693787</v>
      </c>
      <c r="BG443" s="505">
        <f>(BF433+BG435)/2</f>
        <v>230.59426911358804</v>
      </c>
      <c r="BH443" s="505">
        <f>(BF432*BH435)</f>
        <v>1.0789205603858123E-3</v>
      </c>
      <c r="BI443" s="505">
        <f>(BF433+BG443)/2</f>
        <v>231.84862691016394</v>
      </c>
      <c r="BJ443" s="505">
        <f>(BI443-BF431)-(BF431-BF434)</f>
        <v>-4.8240281934078553</v>
      </c>
      <c r="BK443" s="542">
        <f>(BS443+BM443)/2</f>
        <v>1081.2953380069812</v>
      </c>
      <c r="BL443" s="500"/>
      <c r="BM443" s="650">
        <f>BF442*BV445/BV437</f>
        <v>1127.1292135959977</v>
      </c>
      <c r="BN443" s="500"/>
      <c r="BO443" s="500"/>
      <c r="BP443" s="500"/>
      <c r="BQ443" s="500"/>
      <c r="BR443" s="500"/>
      <c r="BS443" s="542">
        <f>(BS441+BU440)/2</f>
        <v>1035.4614624179649</v>
      </c>
      <c r="BT443" s="503">
        <f>((BJ440+BF440)/2)*BV445/BV437</f>
        <v>1382.7376492449814</v>
      </c>
      <c r="BU443" s="503">
        <f>((BJ441+BJ443/10)/2)*BV445/BV437</f>
        <v>464.48016294700534</v>
      </c>
      <c r="BV443" s="514">
        <f>(BV442+BH446)</f>
        <v>1.5879272143837149</v>
      </c>
      <c r="BW443" s="502"/>
      <c r="BX443" s="502"/>
      <c r="BY443" s="797"/>
      <c r="BZ443" s="797"/>
      <c r="CA443" s="797"/>
      <c r="CB443" s="797"/>
      <c r="CC443" s="797"/>
      <c r="CD443" s="797"/>
      <c r="CE443" s="797"/>
      <c r="CF443" s="797"/>
      <c r="CG443" s="797"/>
      <c r="CH443" s="797"/>
      <c r="CI443" s="797"/>
      <c r="CJ443" s="797"/>
      <c r="CK443" s="797"/>
      <c r="CL443" s="797"/>
      <c r="CM443" s="797"/>
      <c r="CN443" s="797"/>
      <c r="CO443" s="797"/>
      <c r="CP443" s="797"/>
      <c r="CQ443" s="797"/>
      <c r="CR443" s="797"/>
      <c r="CS443" s="797"/>
      <c r="CT443" s="797"/>
      <c r="CU443" s="797"/>
    </row>
    <row r="444" spans="1:99" x14ac:dyDescent="0.25">
      <c r="A444" s="163">
        <f>(A432*-1)+A439</f>
        <v>-80.064569134520752</v>
      </c>
      <c r="B444" s="163">
        <f>(A445*-1)+A444</f>
        <v>-6.1893217144407799</v>
      </c>
      <c r="C444" s="163">
        <f>(B444/2)+A432</f>
        <v>0</v>
      </c>
      <c r="D444" s="154"/>
      <c r="E444" s="163">
        <f>(C444*A432)+D437</f>
        <v>7.5521731136992507</v>
      </c>
      <c r="F444" s="191">
        <f>A440*Q445/Q445</f>
        <v>147.40209786989678</v>
      </c>
      <c r="G444" s="191">
        <f>(E444+F444)</f>
        <v>154.95427098359602</v>
      </c>
      <c r="H444" s="149">
        <f>(O445+H442)/2</f>
        <v>1537.8893376291751</v>
      </c>
      <c r="I444" s="149"/>
      <c r="J444" s="149"/>
      <c r="K444" s="149"/>
      <c r="L444" s="149"/>
      <c r="M444" s="149"/>
      <c r="N444" s="191">
        <f>(O441+H441+O441)/3</f>
        <v>1370.6263227537231</v>
      </c>
      <c r="O444" s="152">
        <f>((B435+E443)/2)*Q445/Q437</f>
        <v>651.25426215512221</v>
      </c>
      <c r="P444" s="152">
        <f>D440*Q445/Q437</f>
        <v>1269.5067984067202</v>
      </c>
      <c r="Q444" s="248">
        <f>((Q443*Q442*C446*-1)*Q445*Q434*Q435)*-3.444</f>
        <v>-34.965968328201477</v>
      </c>
      <c r="R444" s="171"/>
      <c r="S444" s="151"/>
      <c r="T444" s="163">
        <f>(T432*-1)+T439</f>
        <v>-79.521104979877691</v>
      </c>
      <c r="U444" s="163">
        <f>(T445*-1)+T444</f>
        <v>-6.8442861409188254</v>
      </c>
      <c r="V444" s="163">
        <f>(U444/2)+T432</f>
        <v>0</v>
      </c>
      <c r="W444" s="154"/>
      <c r="X444" s="163">
        <f>(V444*T432)+W437</f>
        <v>7.6751544087205339</v>
      </c>
      <c r="Y444" s="191">
        <f>T440*AJ445/AJ445</f>
        <v>147.70277358236527</v>
      </c>
      <c r="Z444" s="191">
        <f>(X444+Y444)</f>
        <v>155.37792799108581</v>
      </c>
      <c r="AA444" s="149">
        <f>(AH445+AA442)/2</f>
        <v>1538.1346737067875</v>
      </c>
      <c r="AB444" s="149"/>
      <c r="AC444" s="149"/>
      <c r="AD444" s="149"/>
      <c r="AE444" s="149"/>
      <c r="AF444" s="149"/>
      <c r="AG444" s="191">
        <f>(AH441+AA441+AH441)/3</f>
        <v>1369.5523879900149</v>
      </c>
      <c r="AH444" s="152">
        <f>((U435+X443)/2)*AJ445/AJ437</f>
        <v>649.73810883730528</v>
      </c>
      <c r="AI444" s="152">
        <f>W440*AJ445/AJ437</f>
        <v>1268.6512222597498</v>
      </c>
      <c r="AJ444" s="248">
        <f>((AJ443*AJ442*V446*-1)*AJ445*AJ434*AJ435)*-3.444</f>
        <v>-1.2227844131700452</v>
      </c>
      <c r="AK444" s="171"/>
      <c r="AL444" s="151"/>
      <c r="AM444" s="514">
        <f>(AM432*-1)+AM439</f>
        <v>-79.687879957950145</v>
      </c>
      <c r="AN444" s="514">
        <f>(AM445*-1)+AM444</f>
        <v>-7.7746053668232662</v>
      </c>
      <c r="AO444" s="514">
        <f>(AN444/2)+AM432</f>
        <v>0</v>
      </c>
      <c r="AP444" s="505"/>
      <c r="AQ444" s="514">
        <f>(AO444*AM432)+AP437</f>
        <v>7.9202423385520788</v>
      </c>
      <c r="AR444" s="542">
        <f>AM440*BC445/BC445</f>
        <v>148.4168021295344</v>
      </c>
      <c r="AS444" s="542">
        <f>(AQ444+AR444)</f>
        <v>156.33704446808648</v>
      </c>
      <c r="AT444" s="500">
        <f>(BA445+AT442)/2</f>
        <v>1221.8469809197663</v>
      </c>
      <c r="AU444" s="500"/>
      <c r="AV444" s="500"/>
      <c r="AW444" s="500"/>
      <c r="AX444" s="500"/>
      <c r="AY444" s="500"/>
      <c r="AZ444" s="542">
        <f>(BA441+AT441+BA441)/3</f>
        <v>1086.8557205572017</v>
      </c>
      <c r="BA444" s="503">
        <f>((AN435+AQ443)/2)*BC445/BC437</f>
        <v>514.42317496241776</v>
      </c>
      <c r="BB444" s="503">
        <f>AP440*BC445/BC437</f>
        <v>1006.4809377397017</v>
      </c>
      <c r="BC444" s="590">
        <f>((BC443*BC442*AO446*-1)*BC445*BC434*BC435)*-3.444</f>
        <v>-543.20033888739886</v>
      </c>
      <c r="BD444" s="502"/>
      <c r="BE444" s="502"/>
      <c r="BF444" s="514">
        <f>(BF432*-1)+BF439</f>
        <v>-80.278898980858571</v>
      </c>
      <c r="BG444" s="514">
        <f>(BF445*-1)+BF444</f>
        <v>-7.1393407936638482</v>
      </c>
      <c r="BH444" s="514">
        <f>(BG444/2)+BF432</f>
        <v>0</v>
      </c>
      <c r="BI444" s="505"/>
      <c r="BJ444" s="514">
        <f>(BH444*BF432)+BI437</f>
        <v>7.8057526219803535</v>
      </c>
      <c r="BK444" s="542">
        <f>BF440*BV445/BV445</f>
        <v>148.14372894852187</v>
      </c>
      <c r="BL444" s="542">
        <f>(BJ444+BK444)</f>
        <v>155.94948157050223</v>
      </c>
      <c r="BM444" s="500">
        <f>(BT445+BM442)/2</f>
        <v>1221.6543725007734</v>
      </c>
      <c r="BN444" s="500"/>
      <c r="BO444" s="500"/>
      <c r="BP444" s="500"/>
      <c r="BQ444" s="500"/>
      <c r="BR444" s="500"/>
      <c r="BS444" s="542">
        <f>(BT441+BM441+BT441)/3</f>
        <v>1087.7098507504315</v>
      </c>
      <c r="BT444" s="503">
        <f>((BG435+BJ443)/2)*BV445/BV437</f>
        <v>515.60118536848506</v>
      </c>
      <c r="BU444" s="503">
        <f>BI440*BV445/BV437</f>
        <v>1007.1345222743349</v>
      </c>
      <c r="BV444" s="590">
        <f>((BV443*BV442*BH446*-1)*BV445*BV434*BV435)*-3.444</f>
        <v>-0.41782753449171178</v>
      </c>
      <c r="BW444" s="502"/>
      <c r="BX444" s="502"/>
      <c r="BY444" s="797"/>
      <c r="BZ444" s="797"/>
      <c r="CA444" s="797"/>
      <c r="CB444" s="797"/>
      <c r="CC444" s="797"/>
      <c r="CD444" s="797"/>
      <c r="CE444" s="797"/>
      <c r="CF444" s="797"/>
      <c r="CG444" s="797"/>
      <c r="CH444" s="797"/>
      <c r="CI444" s="797"/>
      <c r="CJ444" s="797"/>
      <c r="CK444" s="797"/>
      <c r="CL444" s="797"/>
      <c r="CM444" s="797"/>
      <c r="CN444" s="797"/>
      <c r="CO444" s="797"/>
      <c r="CP444" s="797"/>
      <c r="CQ444" s="797"/>
      <c r="CR444" s="797"/>
      <c r="CS444" s="797"/>
      <c r="CT444" s="797"/>
      <c r="CU444" s="797"/>
    </row>
    <row r="445" spans="1:99" x14ac:dyDescent="0.25">
      <c r="A445" s="163">
        <f>A432+A439</f>
        <v>-73.875247420079972</v>
      </c>
      <c r="B445" s="163">
        <f>(A446+(A444*-1)+A445)</f>
        <v>-147.75049484015994</v>
      </c>
      <c r="C445" s="154">
        <f>(B445/10)</f>
        <v>-14.775049484015994</v>
      </c>
      <c r="D445" s="154"/>
      <c r="E445" s="154">
        <f>((D441+B442)/2)*Q445</f>
        <v>466.09446115013327</v>
      </c>
      <c r="F445" s="149">
        <f>((E440+B442)/2)*Q445/Q437</f>
        <v>1634.612007974212</v>
      </c>
      <c r="G445" s="149"/>
      <c r="H445" s="149">
        <f>(Q446/2)</f>
        <v>213.15340583983726</v>
      </c>
      <c r="I445" s="149"/>
      <c r="J445" s="149"/>
      <c r="K445" s="149"/>
      <c r="L445" s="149"/>
      <c r="M445" s="149"/>
      <c r="N445" s="191">
        <f>(Q446/2)/Q437</f>
        <v>653.84480318968485</v>
      </c>
      <c r="O445" s="152">
        <f>E440*Q445/Q437</f>
        <v>2619.8883044985546</v>
      </c>
      <c r="P445" s="152">
        <f>((B432+A435)/2)*Q445/Q437</f>
        <v>1346.927451379084</v>
      </c>
      <c r="Q445" s="322">
        <f>ROUND(O438,N446)</f>
        <v>1.9</v>
      </c>
      <c r="R445" s="171"/>
      <c r="S445" s="151"/>
      <c r="T445" s="163">
        <f>T432+T439</f>
        <v>-72.676818838958866</v>
      </c>
      <c r="U445" s="163">
        <f>(T446+(T444*-1)+T445)</f>
        <v>-145.35363767791773</v>
      </c>
      <c r="V445" s="154">
        <f>(U445/10)</f>
        <v>-14.535363767791774</v>
      </c>
      <c r="W445" s="154"/>
      <c r="X445" s="154">
        <f>((W441+U442)/2)*AJ445</f>
        <v>257.02389209191864</v>
      </c>
      <c r="Y445" s="149">
        <f>((X440+U442)/2)*AJ445/AJ437</f>
        <v>1634.612007974212</v>
      </c>
      <c r="Z445" s="149"/>
      <c r="AA445" s="149">
        <f>(AJ446/2)</f>
        <v>117.49591113318637</v>
      </c>
      <c r="AB445" s="149"/>
      <c r="AC445" s="149"/>
      <c r="AD445" s="149"/>
      <c r="AE445" s="149"/>
      <c r="AF445" s="149"/>
      <c r="AG445" s="191">
        <f>(AJ446/2)/AJ437</f>
        <v>653.84480318968485</v>
      </c>
      <c r="AH445" s="152">
        <f>X440*AJ445/AJ437</f>
        <v>2620.3781696646697</v>
      </c>
      <c r="AI445" s="152">
        <f>((U432+T435)/2)*AJ445/AJ437</f>
        <v>1346.2513549350797</v>
      </c>
      <c r="AJ445" s="322">
        <f>ROUND(AH438,AG446)</f>
        <v>1.05</v>
      </c>
      <c r="AK445" s="171"/>
      <c r="AL445" s="151"/>
      <c r="AM445" s="514">
        <f>AM432+AM439</f>
        <v>-71.913274591126878</v>
      </c>
      <c r="AN445" s="514">
        <f>(AM446+(AM444*-1)+AM445)</f>
        <v>-143.82654918225376</v>
      </c>
      <c r="AO445" s="505">
        <f>(AN445/10)</f>
        <v>-14.382654918225375</v>
      </c>
      <c r="AP445" s="505"/>
      <c r="AQ445" s="505">
        <f>((AP441+AN442)/2)*BC445</f>
        <v>370.35581270260815</v>
      </c>
      <c r="AR445" s="500">
        <f>((AQ440+AN442)/2)*BC445/BC437</f>
        <v>1298.191115414686</v>
      </c>
      <c r="AS445" s="500"/>
      <c r="AT445" s="500">
        <f>(BC446/2)</f>
        <v>169.28412145007505</v>
      </c>
      <c r="AU445" s="500"/>
      <c r="AV445" s="500"/>
      <c r="AW445" s="500"/>
      <c r="AX445" s="500"/>
      <c r="AY445" s="500"/>
      <c r="AZ445" s="542">
        <f>(BC446/2)/BC437</f>
        <v>519.2764461658744</v>
      </c>
      <c r="BA445" s="503">
        <f>AQ440*BC445/BC437</f>
        <v>2081.6071857769575</v>
      </c>
      <c r="BB445" s="503">
        <f>((AN432+AM435)/2)*BC445/BC437</f>
        <v>1068.6552197659801</v>
      </c>
      <c r="BC445" s="656">
        <f>ROUND(BA438,AZ446)</f>
        <v>1.51</v>
      </c>
      <c r="BD445" s="502"/>
      <c r="BE445" s="502"/>
      <c r="BF445" s="514">
        <f>BF432+BF439</f>
        <v>-73.139558187194723</v>
      </c>
      <c r="BG445" s="514">
        <f>(BF446+(BF444*-1)+BF445)</f>
        <v>-146.27911637438945</v>
      </c>
      <c r="BH445" s="505">
        <f>(BG445/10)</f>
        <v>-14.627911637438945</v>
      </c>
      <c r="BI445" s="505"/>
      <c r="BJ445" s="505">
        <f>((BI441+BG442)/2)*BV445</f>
        <v>204.06709368905263</v>
      </c>
      <c r="BK445" s="500">
        <f>((BJ440+BG442)/2)*BV445/BV437</f>
        <v>1298.1911154146858</v>
      </c>
      <c r="BL445" s="500"/>
      <c r="BM445" s="500">
        <f>(BV446/2)</f>
        <v>93.313977376007628</v>
      </c>
      <c r="BN445" s="500"/>
      <c r="BO445" s="500"/>
      <c r="BP445" s="500"/>
      <c r="BQ445" s="500"/>
      <c r="BR445" s="500"/>
      <c r="BS445" s="542">
        <f>(BV446/2)/BV437</f>
        <v>519.2764461658744</v>
      </c>
      <c r="BT445" s="503">
        <f>BJ440*BV445/BV437</f>
        <v>2081.2276912152097</v>
      </c>
      <c r="BU445" s="503">
        <f>((BG432+BF435)/2)*BV445/BV437</f>
        <v>1069.1928212110222</v>
      </c>
      <c r="BV445" s="656">
        <f>ROUND(BT438,BS446)</f>
        <v>0.83</v>
      </c>
      <c r="BW445" s="502"/>
      <c r="BX445" s="502"/>
      <c r="BY445" s="797"/>
      <c r="BZ445" s="797"/>
      <c r="CA445" s="797"/>
      <c r="CB445" s="797"/>
      <c r="CC445" s="797"/>
      <c r="CD445" s="797"/>
      <c r="CE445" s="797"/>
      <c r="CF445" s="797"/>
      <c r="CG445" s="797"/>
      <c r="CH445" s="797"/>
      <c r="CI445" s="797"/>
      <c r="CJ445" s="797"/>
      <c r="CK445" s="797"/>
      <c r="CL445" s="797"/>
      <c r="CM445" s="797"/>
      <c r="CN445" s="797"/>
      <c r="CO445" s="797"/>
      <c r="CP445" s="797"/>
      <c r="CQ445" s="797"/>
      <c r="CR445" s="797"/>
      <c r="CS445" s="797"/>
      <c r="CT445" s="797"/>
      <c r="CU445" s="797"/>
    </row>
    <row r="446" spans="1:99" x14ac:dyDescent="0.25">
      <c r="A446" s="191">
        <f>(A444+A445)</f>
        <v>-153.93981655460072</v>
      </c>
      <c r="B446" s="149"/>
      <c r="C446" s="162">
        <f>INT(C439)-C439+N446</f>
        <v>1.4274914115729853</v>
      </c>
      <c r="D446" s="149"/>
      <c r="E446" s="191" t="s">
        <v>53</v>
      </c>
      <c r="F446" s="149">
        <f>((O446+B442+E440)/3)*Q445/Q437</f>
        <v>4028.9330725536247</v>
      </c>
      <c r="G446" s="149"/>
      <c r="H446" s="149">
        <f>ROUND(H445,2)</f>
        <v>213.15</v>
      </c>
      <c r="I446" s="149"/>
      <c r="J446" s="149"/>
      <c r="K446" s="149"/>
      <c r="L446" s="149"/>
      <c r="M446" s="149"/>
      <c r="N446" s="149">
        <v>2</v>
      </c>
      <c r="O446" s="152">
        <f>((B432+B442+E440)/3)*Q445/Q437</f>
        <v>1512.9102714517148</v>
      </c>
      <c r="P446" s="191">
        <f>(Q446/Q445)</f>
        <v>224.37200614719714</v>
      </c>
      <c r="Q446" s="152">
        <f>P432*Q437</f>
        <v>426.30681167967452</v>
      </c>
      <c r="R446" s="171"/>
      <c r="S446" s="151"/>
      <c r="T446" s="191">
        <f>(T444+T445)</f>
        <v>-152.19792381883656</v>
      </c>
      <c r="U446" s="149"/>
      <c r="V446" s="162">
        <f>INT(V439)-V439+AG446</f>
        <v>1.8294021501898499</v>
      </c>
      <c r="W446" s="149"/>
      <c r="X446" s="191" t="s">
        <v>53</v>
      </c>
      <c r="Y446" s="149">
        <f>((AH446+U442+X440)/3)*AJ445/AJ437</f>
        <v>4035.8669802240643</v>
      </c>
      <c r="Z446" s="149"/>
      <c r="AA446" s="149">
        <f>ROUND(AA445,2)</f>
        <v>117.5</v>
      </c>
      <c r="AB446" s="149"/>
      <c r="AC446" s="149"/>
      <c r="AD446" s="149"/>
      <c r="AE446" s="149"/>
      <c r="AF446" s="149"/>
      <c r="AG446" s="149">
        <v>2</v>
      </c>
      <c r="AH446" s="152">
        <f>((U432+U442+X440)/3)*AJ445/AJ437</f>
        <v>1512.6250794027249</v>
      </c>
      <c r="AI446" s="191">
        <f>(AJ446/AJ445)</f>
        <v>223.80173549178355</v>
      </c>
      <c r="AJ446" s="152">
        <f>AI432*AJ437</f>
        <v>234.99182226637274</v>
      </c>
      <c r="AK446" s="171"/>
      <c r="AL446" s="151"/>
      <c r="AM446" s="542">
        <f>(AM444+AM445)</f>
        <v>-151.60115454907702</v>
      </c>
      <c r="AN446" s="500"/>
      <c r="AO446" s="513">
        <f>INT(AO439)-AO439+AZ446</f>
        <v>1.2460436958468311</v>
      </c>
      <c r="AP446" s="500"/>
      <c r="AQ446" s="542" t="s">
        <v>53</v>
      </c>
      <c r="AR446" s="500">
        <f>((BA446+AN442+AQ440)/3)*BC445/BC437</f>
        <v>2719.6950260021904</v>
      </c>
      <c r="AS446" s="500"/>
      <c r="AT446" s="500">
        <f>ROUND(AT445,2)</f>
        <v>169.28</v>
      </c>
      <c r="AU446" s="500"/>
      <c r="AV446" s="500"/>
      <c r="AW446" s="500"/>
      <c r="AX446" s="500"/>
      <c r="AY446" s="500"/>
      <c r="AZ446" s="500">
        <v>2</v>
      </c>
      <c r="BA446" s="503">
        <f>((AN432+AN442+AQ440)/3)*BC445/BC437</f>
        <v>1200.9543895230245</v>
      </c>
      <c r="BB446" s="542">
        <f>(BC446/BC445)</f>
        <v>224.21737940407291</v>
      </c>
      <c r="BC446" s="503">
        <f>BB432*BC437</f>
        <v>338.5682429001501</v>
      </c>
      <c r="BD446" s="502"/>
      <c r="BE446" s="502"/>
      <c r="BF446" s="542">
        <f>(BF444+BF445)</f>
        <v>-153.41845716805329</v>
      </c>
      <c r="BG446" s="500"/>
      <c r="BH446" s="513">
        <f>INT(BH439)-BH439+BS446</f>
        <v>1.8385311219418199</v>
      </c>
      <c r="BI446" s="500"/>
      <c r="BJ446" s="542" t="s">
        <v>53</v>
      </c>
      <c r="BK446" s="500">
        <f>((BT446+BG442+BJ440)/3)*BV445/BV437</f>
        <v>2714.7891953973849</v>
      </c>
      <c r="BL446" s="500"/>
      <c r="BM446" s="500">
        <f>ROUND(BM445,2)</f>
        <v>93.31</v>
      </c>
      <c r="BN446" s="500"/>
      <c r="BO446" s="500"/>
      <c r="BP446" s="500"/>
      <c r="BQ446" s="500"/>
      <c r="BR446" s="500"/>
      <c r="BS446" s="500">
        <v>2</v>
      </c>
      <c r="BT446" s="503">
        <f>((BG432+BG442+BJ440)/3)*BV445/BV437</f>
        <v>1201.1722510345689</v>
      </c>
      <c r="BU446" s="542">
        <f>(BV446/BV445)</f>
        <v>224.85295753254852</v>
      </c>
      <c r="BV446" s="503">
        <f>BU432*BV437</f>
        <v>186.62795475201526</v>
      </c>
      <c r="BW446" s="502"/>
      <c r="BX446" s="502"/>
      <c r="BY446" s="797"/>
      <c r="BZ446" s="797"/>
      <c r="CA446" s="797"/>
      <c r="CB446" s="797"/>
      <c r="CC446" s="797"/>
      <c r="CD446" s="797"/>
      <c r="CE446" s="797"/>
      <c r="CF446" s="797"/>
      <c r="CG446" s="797"/>
      <c r="CH446" s="797"/>
      <c r="CI446" s="797"/>
      <c r="CJ446" s="797"/>
      <c r="CK446" s="797"/>
      <c r="CL446" s="797"/>
      <c r="CM446" s="797"/>
      <c r="CN446" s="797"/>
      <c r="CO446" s="797"/>
      <c r="CP446" s="797"/>
      <c r="CQ446" s="797"/>
      <c r="CR446" s="797"/>
      <c r="CS446" s="797"/>
      <c r="CT446" s="797"/>
      <c r="CU446" s="797"/>
    </row>
    <row r="447" spans="1:99" x14ac:dyDescent="0.25">
      <c r="A447" s="171"/>
      <c r="B447" s="171"/>
      <c r="C447" s="171"/>
      <c r="D447" s="171"/>
      <c r="E447" s="171"/>
      <c r="F447" s="171"/>
      <c r="G447" s="171"/>
      <c r="H447" s="171"/>
      <c r="I447" s="171"/>
      <c r="J447" s="171"/>
      <c r="K447" s="171"/>
      <c r="L447" s="171"/>
      <c r="M447" s="171"/>
      <c r="N447" s="171"/>
      <c r="O447" s="171"/>
      <c r="P447" s="171" t="s">
        <v>54</v>
      </c>
      <c r="Q447" s="171"/>
      <c r="R447" s="171"/>
      <c r="S447" s="151"/>
      <c r="T447" s="171"/>
      <c r="U447" s="171"/>
      <c r="V447" s="171"/>
      <c r="W447" s="171"/>
      <c r="X447" s="171"/>
      <c r="Y447" s="171"/>
      <c r="Z447" s="171"/>
      <c r="AA447" s="171"/>
      <c r="AB447" s="171"/>
      <c r="AC447" s="171"/>
      <c r="AD447" s="171"/>
      <c r="AE447" s="171"/>
      <c r="AF447" s="171"/>
      <c r="AG447" s="171"/>
      <c r="AH447" s="171"/>
      <c r="AI447" s="171" t="s">
        <v>54</v>
      </c>
      <c r="AJ447" s="171"/>
      <c r="AK447" s="171"/>
      <c r="AL447" s="151"/>
      <c r="AM447" s="502"/>
      <c r="AN447" s="502"/>
      <c r="AO447" s="502"/>
      <c r="AP447" s="502"/>
      <c r="AQ447" s="502"/>
      <c r="AR447" s="502"/>
      <c r="AS447" s="502"/>
      <c r="AT447" s="502"/>
      <c r="AU447" s="502"/>
      <c r="AV447" s="502"/>
      <c r="AW447" s="502"/>
      <c r="AX447" s="502"/>
      <c r="AY447" s="502"/>
      <c r="AZ447" s="502"/>
      <c r="BA447" s="502"/>
      <c r="BB447" s="502" t="s">
        <v>54</v>
      </c>
      <c r="BC447" s="502"/>
      <c r="BD447" s="502"/>
      <c r="BE447" s="502"/>
      <c r="BF447" s="502"/>
      <c r="BG447" s="502"/>
      <c r="BH447" s="502"/>
      <c r="BI447" s="502"/>
      <c r="BJ447" s="502"/>
      <c r="BK447" s="502"/>
      <c r="BL447" s="502"/>
      <c r="BM447" s="502"/>
      <c r="BN447" s="502"/>
      <c r="BO447" s="502"/>
      <c r="BP447" s="502"/>
      <c r="BQ447" s="502"/>
      <c r="BR447" s="502"/>
      <c r="BS447" s="502"/>
      <c r="BT447" s="502"/>
      <c r="BU447" s="502" t="s">
        <v>54</v>
      </c>
      <c r="BV447" s="502"/>
      <c r="BW447" s="502"/>
      <c r="BX447" s="502"/>
      <c r="BY447" s="797"/>
      <c r="BZ447" s="797"/>
      <c r="CA447" s="797"/>
      <c r="CB447" s="797"/>
      <c r="CC447" s="797"/>
      <c r="CD447" s="797"/>
      <c r="CE447" s="797"/>
      <c r="CF447" s="797"/>
      <c r="CG447" s="797"/>
      <c r="CH447" s="797"/>
      <c r="CI447" s="797"/>
      <c r="CJ447" s="797"/>
      <c r="CK447" s="797"/>
      <c r="CL447" s="797"/>
      <c r="CM447" s="797"/>
      <c r="CN447" s="797"/>
      <c r="CO447" s="797"/>
      <c r="CP447" s="797"/>
      <c r="CQ447" s="797"/>
      <c r="CR447" s="797"/>
      <c r="CS447" s="797"/>
      <c r="CT447" s="797"/>
      <c r="CU447" s="797"/>
    </row>
    <row r="448" spans="1:99" x14ac:dyDescent="0.25">
      <c r="A448" s="171"/>
      <c r="B448" s="171"/>
      <c r="C448" s="171"/>
      <c r="D448" s="171"/>
      <c r="E448" s="171"/>
      <c r="F448" s="171"/>
      <c r="G448" s="171"/>
      <c r="H448" s="171"/>
      <c r="I448" s="151"/>
      <c r="J448" s="151"/>
      <c r="K448" s="151"/>
      <c r="L448" s="151"/>
      <c r="M448" s="151"/>
      <c r="N448" s="171"/>
      <c r="O448" s="171"/>
      <c r="P448" s="171"/>
      <c r="Q448" s="171"/>
      <c r="R448" s="171"/>
      <c r="S448" s="151"/>
      <c r="T448" s="171"/>
      <c r="U448" s="171"/>
      <c r="V448" s="171"/>
      <c r="W448" s="171"/>
      <c r="X448" s="171"/>
      <c r="Y448" s="171"/>
      <c r="Z448" s="171"/>
      <c r="AA448" s="171"/>
      <c r="AB448" s="151"/>
      <c r="AC448" s="151"/>
      <c r="AD448" s="151"/>
      <c r="AE448" s="151"/>
      <c r="AF448" s="151"/>
      <c r="AG448" s="171"/>
      <c r="AH448" s="171"/>
      <c r="AI448" s="171"/>
      <c r="AJ448" s="171"/>
      <c r="AK448" s="171"/>
      <c r="AL448" s="151"/>
      <c r="AM448" s="502"/>
      <c r="AN448" s="502"/>
      <c r="AO448" s="502"/>
      <c r="AP448" s="502"/>
      <c r="AQ448" s="502"/>
      <c r="AR448" s="502"/>
      <c r="AS448" s="502"/>
      <c r="AT448" s="502"/>
      <c r="AU448" s="502"/>
      <c r="AV448" s="502"/>
      <c r="AW448" s="502"/>
      <c r="AX448" s="502"/>
      <c r="AY448" s="502"/>
      <c r="AZ448" s="502"/>
      <c r="BA448" s="502"/>
      <c r="BB448" s="502"/>
      <c r="BC448" s="502"/>
      <c r="BD448" s="502"/>
      <c r="BE448" s="502"/>
      <c r="BF448" s="502"/>
      <c r="BG448" s="502"/>
      <c r="BH448" s="502"/>
      <c r="BI448" s="502"/>
      <c r="BJ448" s="502"/>
      <c r="BK448" s="502"/>
      <c r="BL448" s="502"/>
      <c r="BM448" s="502"/>
      <c r="BN448" s="502"/>
      <c r="BO448" s="502"/>
      <c r="BP448" s="502"/>
      <c r="BQ448" s="502"/>
      <c r="BR448" s="502"/>
      <c r="BS448" s="502"/>
      <c r="BT448" s="502"/>
      <c r="BU448" s="502"/>
      <c r="BV448" s="502"/>
      <c r="BW448" s="502"/>
      <c r="BX448" s="502"/>
      <c r="BY448" s="797"/>
      <c r="BZ448" s="797"/>
      <c r="CA448" s="797"/>
      <c r="CB448" s="797"/>
      <c r="CC448" s="797"/>
      <c r="CD448" s="797"/>
      <c r="CE448" s="797"/>
      <c r="CF448" s="797"/>
      <c r="CG448" s="797"/>
      <c r="CH448" s="797"/>
      <c r="CI448" s="797"/>
      <c r="CJ448" s="797"/>
      <c r="CK448" s="797"/>
      <c r="CL448" s="797"/>
      <c r="CM448" s="797"/>
      <c r="CN448" s="797"/>
      <c r="CO448" s="797"/>
      <c r="CP448" s="797"/>
      <c r="CQ448" s="797"/>
      <c r="CR448" s="797"/>
      <c r="CS448" s="797"/>
      <c r="CT448" s="797"/>
      <c r="CU448" s="797"/>
    </row>
    <row r="449" spans="1:99" x14ac:dyDescent="0.25">
      <c r="A449" s="171"/>
      <c r="B449" s="171"/>
      <c r="C449" s="171"/>
      <c r="D449" s="171"/>
      <c r="E449" s="171"/>
      <c r="F449" s="171"/>
      <c r="G449" s="171"/>
      <c r="H449" s="171"/>
      <c r="I449" s="151"/>
      <c r="J449" s="151"/>
      <c r="K449" s="151"/>
      <c r="L449" s="151"/>
      <c r="M449" s="151"/>
      <c r="N449" s="171"/>
      <c r="O449" s="171"/>
      <c r="P449" s="171"/>
      <c r="Q449" s="171"/>
      <c r="R449" s="171"/>
      <c r="S449" s="151"/>
      <c r="T449" s="171"/>
      <c r="U449" s="171"/>
      <c r="V449" s="171"/>
      <c r="W449" s="171"/>
      <c r="X449" s="171"/>
      <c r="Y449" s="171"/>
      <c r="Z449" s="171"/>
      <c r="AA449" s="171"/>
      <c r="AB449" s="151"/>
      <c r="AC449" s="151"/>
      <c r="AD449" s="151"/>
      <c r="AE449" s="151"/>
      <c r="AF449" s="151"/>
      <c r="AG449" s="171"/>
      <c r="AH449" s="171"/>
      <c r="AI449" s="171"/>
      <c r="AJ449" s="171"/>
      <c r="AK449" s="171"/>
      <c r="AL449" s="151"/>
      <c r="AM449" s="502"/>
      <c r="AN449" s="502"/>
      <c r="AO449" s="502"/>
      <c r="AP449" s="502"/>
      <c r="AQ449" s="502"/>
      <c r="AR449" s="502"/>
      <c r="AS449" s="502"/>
      <c r="AT449" s="502"/>
      <c r="AU449" s="502"/>
      <c r="AV449" s="502"/>
      <c r="AW449" s="502"/>
      <c r="AX449" s="502"/>
      <c r="AY449" s="502"/>
      <c r="AZ449" s="502"/>
      <c r="BA449" s="502"/>
      <c r="BB449" s="502"/>
      <c r="BC449" s="502"/>
      <c r="BD449" s="502"/>
      <c r="BE449" s="502"/>
      <c r="BF449" s="502"/>
      <c r="BG449" s="502"/>
      <c r="BH449" s="502"/>
      <c r="BI449" s="502"/>
      <c r="BJ449" s="502"/>
      <c r="BK449" s="502"/>
      <c r="BL449" s="502"/>
      <c r="BM449" s="502"/>
      <c r="BN449" s="502"/>
      <c r="BO449" s="502"/>
      <c r="BP449" s="502"/>
      <c r="BQ449" s="502"/>
      <c r="BR449" s="502"/>
      <c r="BS449" s="502"/>
      <c r="BT449" s="502"/>
      <c r="BU449" s="502"/>
      <c r="BV449" s="502"/>
      <c r="BW449" s="502"/>
      <c r="BX449" s="502"/>
      <c r="BY449" s="797"/>
      <c r="BZ449" s="797"/>
      <c r="CA449" s="797"/>
      <c r="CB449" s="797"/>
      <c r="CC449" s="797"/>
      <c r="CD449" s="797"/>
      <c r="CE449" s="797"/>
      <c r="CF449" s="797"/>
      <c r="CG449" s="797"/>
      <c r="CH449" s="797"/>
      <c r="CI449" s="797"/>
      <c r="CJ449" s="797"/>
      <c r="CK449" s="797"/>
      <c r="CL449" s="797"/>
      <c r="CM449" s="797"/>
      <c r="CN449" s="797"/>
      <c r="CO449" s="797"/>
      <c r="CP449" s="797"/>
      <c r="CQ449" s="797"/>
      <c r="CR449" s="797"/>
      <c r="CS449" s="797"/>
      <c r="CT449" s="797"/>
      <c r="CU449" s="797"/>
    </row>
    <row r="450" spans="1:99" x14ac:dyDescent="0.25">
      <c r="A450" s="171"/>
      <c r="B450" s="171"/>
      <c r="C450" s="171"/>
      <c r="D450" s="171"/>
      <c r="E450" s="171"/>
      <c r="F450" s="171"/>
      <c r="G450" s="171"/>
      <c r="H450" s="171"/>
      <c r="I450" s="151"/>
      <c r="J450" s="151"/>
      <c r="K450" s="151"/>
      <c r="L450" s="151"/>
      <c r="M450" s="151"/>
      <c r="N450" s="171"/>
      <c r="O450" s="171"/>
      <c r="P450" s="171"/>
      <c r="Q450" s="171"/>
      <c r="R450" s="171"/>
      <c r="S450" s="151"/>
      <c r="T450" s="171"/>
      <c r="U450" s="171"/>
      <c r="V450" s="171"/>
      <c r="W450" s="171"/>
      <c r="X450" s="171"/>
      <c r="Y450" s="171"/>
      <c r="Z450" s="171"/>
      <c r="AA450" s="171"/>
      <c r="AB450" s="151"/>
      <c r="AC450" s="151"/>
      <c r="AD450" s="151"/>
      <c r="AE450" s="151"/>
      <c r="AF450" s="151"/>
      <c r="AG450" s="171"/>
      <c r="AH450" s="171"/>
      <c r="AI450" s="171"/>
      <c r="AJ450" s="171"/>
      <c r="AK450" s="171"/>
      <c r="AL450" s="151"/>
      <c r="AM450" s="502"/>
      <c r="AN450" s="502"/>
      <c r="AO450" s="502"/>
      <c r="AP450" s="502"/>
      <c r="AQ450" s="502"/>
      <c r="AR450" s="502"/>
      <c r="AS450" s="502"/>
      <c r="AT450" s="502"/>
      <c r="AU450" s="502"/>
      <c r="AV450" s="502"/>
      <c r="AW450" s="502"/>
      <c r="AX450" s="502"/>
      <c r="AY450" s="502"/>
      <c r="AZ450" s="502"/>
      <c r="BA450" s="502"/>
      <c r="BB450" s="502"/>
      <c r="BC450" s="502"/>
      <c r="BD450" s="502"/>
      <c r="BE450" s="502"/>
      <c r="BF450" s="502"/>
      <c r="BG450" s="502"/>
      <c r="BH450" s="502"/>
      <c r="BI450" s="502"/>
      <c r="BJ450" s="502"/>
      <c r="BK450" s="502"/>
      <c r="BL450" s="502"/>
      <c r="BM450" s="502"/>
      <c r="BN450" s="502"/>
      <c r="BO450" s="502"/>
      <c r="BP450" s="502"/>
      <c r="BQ450" s="502"/>
      <c r="BR450" s="502"/>
      <c r="BS450" s="502"/>
      <c r="BT450" s="502"/>
      <c r="BU450" s="502"/>
      <c r="BV450" s="502"/>
      <c r="BW450" s="502"/>
      <c r="BX450" s="502"/>
      <c r="BY450" s="797"/>
      <c r="BZ450" s="797"/>
      <c r="CA450" s="797"/>
      <c r="CB450" s="797"/>
      <c r="CC450" s="797"/>
      <c r="CD450" s="797"/>
      <c r="CE450" s="797"/>
      <c r="CF450" s="797"/>
      <c r="CG450" s="797"/>
      <c r="CH450" s="797"/>
      <c r="CI450" s="797"/>
      <c r="CJ450" s="797"/>
      <c r="CK450" s="797"/>
      <c r="CL450" s="797"/>
      <c r="CM450" s="797"/>
      <c r="CN450" s="797"/>
      <c r="CO450" s="797"/>
      <c r="CP450" s="797"/>
      <c r="CQ450" s="797"/>
      <c r="CR450" s="797"/>
      <c r="CS450" s="797"/>
      <c r="CT450" s="797"/>
      <c r="CU450" s="797"/>
    </row>
    <row r="451" spans="1:99" x14ac:dyDescent="0.25">
      <c r="A451" s="171"/>
      <c r="B451" s="171"/>
      <c r="C451" s="171"/>
      <c r="D451" s="171"/>
      <c r="E451" s="171"/>
      <c r="F451" s="171"/>
      <c r="G451" s="171"/>
      <c r="H451" s="171"/>
      <c r="I451" s="151"/>
      <c r="J451" s="151"/>
      <c r="K451" s="151"/>
      <c r="L451" s="151"/>
      <c r="M451" s="151"/>
      <c r="N451" s="171"/>
      <c r="O451" s="171"/>
      <c r="P451" s="171"/>
      <c r="Q451" s="171"/>
      <c r="R451" s="171"/>
      <c r="S451" s="151"/>
      <c r="T451" s="171"/>
      <c r="U451" s="171"/>
      <c r="V451" s="171"/>
      <c r="W451" s="171"/>
      <c r="X451" s="171"/>
      <c r="Y451" s="171"/>
      <c r="Z451" s="171"/>
      <c r="AA451" s="171"/>
      <c r="AB451" s="151"/>
      <c r="AC451" s="151"/>
      <c r="AD451" s="151"/>
      <c r="AE451" s="151"/>
      <c r="AF451" s="151"/>
      <c r="AG451" s="171"/>
      <c r="AH451" s="171"/>
      <c r="AI451" s="171"/>
      <c r="AJ451" s="171"/>
      <c r="AK451" s="171"/>
      <c r="AL451" s="151"/>
      <c r="AM451" s="502"/>
      <c r="AN451" s="502"/>
      <c r="AO451" s="502"/>
      <c r="AP451" s="502"/>
      <c r="AQ451" s="502"/>
      <c r="AR451" s="502"/>
      <c r="AS451" s="502"/>
      <c r="AT451" s="502"/>
      <c r="AU451" s="502"/>
      <c r="AV451" s="502"/>
      <c r="AW451" s="502"/>
      <c r="AX451" s="502"/>
      <c r="AY451" s="502"/>
      <c r="AZ451" s="502"/>
      <c r="BA451" s="502"/>
      <c r="BB451" s="502"/>
      <c r="BC451" s="502"/>
      <c r="BD451" s="502"/>
      <c r="BE451" s="502"/>
      <c r="BF451" s="502"/>
      <c r="BG451" s="502"/>
      <c r="BH451" s="502"/>
      <c r="BI451" s="502"/>
      <c r="BJ451" s="502"/>
      <c r="BK451" s="502"/>
      <c r="BL451" s="502"/>
      <c r="BM451" s="502"/>
      <c r="BN451" s="502"/>
      <c r="BO451" s="502"/>
      <c r="BP451" s="502"/>
      <c r="BQ451" s="502"/>
      <c r="BR451" s="502"/>
      <c r="BS451" s="502"/>
      <c r="BT451" s="502"/>
      <c r="BU451" s="502"/>
      <c r="BV451" s="502"/>
      <c r="BW451" s="502"/>
      <c r="BX451" s="502"/>
      <c r="BY451" s="797"/>
      <c r="BZ451" s="797"/>
      <c r="CA451" s="797"/>
      <c r="CB451" s="797"/>
      <c r="CC451" s="797"/>
      <c r="CD451" s="797"/>
      <c r="CE451" s="797"/>
      <c r="CF451" s="797"/>
      <c r="CG451" s="797"/>
      <c r="CH451" s="797"/>
      <c r="CI451" s="797"/>
      <c r="CJ451" s="797"/>
      <c r="CK451" s="797"/>
      <c r="CL451" s="797"/>
      <c r="CM451" s="797"/>
      <c r="CN451" s="797"/>
      <c r="CO451" s="797"/>
      <c r="CP451" s="797"/>
      <c r="CQ451" s="797"/>
      <c r="CR451" s="797"/>
      <c r="CS451" s="797"/>
      <c r="CT451" s="797"/>
      <c r="CU451" s="797"/>
    </row>
    <row r="452" spans="1:99" x14ac:dyDescent="0.25">
      <c r="A452" s="171"/>
      <c r="B452" s="171"/>
      <c r="C452" s="171"/>
      <c r="D452" s="171"/>
      <c r="E452" s="171"/>
      <c r="F452" s="171"/>
      <c r="G452" s="171"/>
      <c r="H452" s="171"/>
      <c r="I452" s="151"/>
      <c r="J452" s="151"/>
      <c r="K452" s="151"/>
      <c r="L452" s="151"/>
      <c r="M452" s="151"/>
      <c r="N452" s="171"/>
      <c r="O452" s="171"/>
      <c r="P452" s="171"/>
      <c r="Q452" s="171"/>
      <c r="R452" s="171"/>
      <c r="S452" s="151"/>
      <c r="T452" s="171"/>
      <c r="U452" s="171"/>
      <c r="V452" s="171"/>
      <c r="W452" s="171"/>
      <c r="X452" s="171"/>
      <c r="Y452" s="171"/>
      <c r="Z452" s="171"/>
      <c r="AA452" s="171"/>
      <c r="AB452" s="151"/>
      <c r="AC452" s="151"/>
      <c r="AD452" s="151"/>
      <c r="AE452" s="151"/>
      <c r="AF452" s="151"/>
      <c r="AG452" s="171"/>
      <c r="AH452" s="171"/>
      <c r="AI452" s="171"/>
      <c r="AJ452" s="171"/>
      <c r="AK452" s="171"/>
      <c r="AL452" s="151"/>
      <c r="AM452" s="502"/>
      <c r="AN452" s="502"/>
      <c r="AO452" s="502"/>
      <c r="AP452" s="502"/>
      <c r="AQ452" s="502"/>
      <c r="AR452" s="502"/>
      <c r="AS452" s="502"/>
      <c r="AT452" s="502"/>
      <c r="AU452" s="502"/>
      <c r="AV452" s="502"/>
      <c r="AW452" s="502"/>
      <c r="AX452" s="502"/>
      <c r="AY452" s="502"/>
      <c r="AZ452" s="502"/>
      <c r="BA452" s="502"/>
      <c r="BB452" s="502"/>
      <c r="BC452" s="502"/>
      <c r="BD452" s="502"/>
      <c r="BE452" s="502"/>
      <c r="BF452" s="502"/>
      <c r="BG452" s="502"/>
      <c r="BH452" s="502"/>
      <c r="BI452" s="502"/>
      <c r="BJ452" s="502"/>
      <c r="BK452" s="502"/>
      <c r="BL452" s="502"/>
      <c r="BM452" s="502"/>
      <c r="BN452" s="502"/>
      <c r="BO452" s="502"/>
      <c r="BP452" s="502"/>
      <c r="BQ452" s="502"/>
      <c r="BR452" s="502"/>
      <c r="BS452" s="502"/>
      <c r="BT452" s="502"/>
      <c r="BU452" s="502"/>
      <c r="BV452" s="502"/>
      <c r="BW452" s="502"/>
      <c r="BX452" s="502"/>
      <c r="BY452" s="797"/>
      <c r="BZ452" s="797"/>
      <c r="CA452" s="797"/>
      <c r="CB452" s="797"/>
      <c r="CC452" s="797"/>
      <c r="CD452" s="797"/>
      <c r="CE452" s="797"/>
      <c r="CF452" s="797"/>
      <c r="CG452" s="797"/>
      <c r="CH452" s="797"/>
      <c r="CI452" s="797"/>
      <c r="CJ452" s="797"/>
      <c r="CK452" s="797"/>
      <c r="CL452" s="797"/>
      <c r="CM452" s="797"/>
      <c r="CN452" s="797"/>
      <c r="CO452" s="797"/>
      <c r="CP452" s="797"/>
      <c r="CQ452" s="797"/>
      <c r="CR452" s="797"/>
      <c r="CS452" s="797"/>
      <c r="CT452" s="797"/>
      <c r="CU452" s="797"/>
    </row>
    <row r="453" spans="1:99" x14ac:dyDescent="0.25">
      <c r="A453" s="171"/>
      <c r="B453" s="171"/>
      <c r="C453" s="171"/>
      <c r="D453" s="171"/>
      <c r="E453" s="171"/>
      <c r="F453" s="171"/>
      <c r="G453" s="171"/>
      <c r="H453" s="171"/>
      <c r="I453" s="151"/>
      <c r="J453" s="151"/>
      <c r="K453" s="151"/>
      <c r="L453" s="151"/>
      <c r="M453" s="151"/>
      <c r="N453" s="171"/>
      <c r="O453" s="171"/>
      <c r="P453" s="171"/>
      <c r="Q453" s="171"/>
      <c r="R453" s="171"/>
      <c r="S453" s="151"/>
      <c r="T453" s="171"/>
      <c r="U453" s="171"/>
      <c r="V453" s="171"/>
      <c r="W453" s="171"/>
      <c r="X453" s="171"/>
      <c r="Y453" s="171"/>
      <c r="Z453" s="171"/>
      <c r="AA453" s="171"/>
      <c r="AB453" s="151"/>
      <c r="AC453" s="151"/>
      <c r="AD453" s="151"/>
      <c r="AE453" s="151"/>
      <c r="AF453" s="151"/>
      <c r="AG453" s="171"/>
      <c r="AH453" s="171"/>
      <c r="AI453" s="171"/>
      <c r="AJ453" s="171"/>
      <c r="AK453" s="171"/>
      <c r="AL453" s="151"/>
      <c r="AM453" s="502"/>
      <c r="AN453" s="502"/>
      <c r="AO453" s="502"/>
      <c r="AP453" s="502"/>
      <c r="AQ453" s="502"/>
      <c r="AR453" s="502"/>
      <c r="AS453" s="502"/>
      <c r="AT453" s="502"/>
      <c r="AU453" s="502"/>
      <c r="AV453" s="502"/>
      <c r="AW453" s="502"/>
      <c r="AX453" s="502"/>
      <c r="AY453" s="502"/>
      <c r="AZ453" s="502"/>
      <c r="BA453" s="502"/>
      <c r="BB453" s="502"/>
      <c r="BC453" s="502"/>
      <c r="BD453" s="502"/>
      <c r="BE453" s="502"/>
      <c r="BF453" s="502"/>
      <c r="BG453" s="502"/>
      <c r="BH453" s="502"/>
      <c r="BI453" s="502"/>
      <c r="BJ453" s="502"/>
      <c r="BK453" s="502"/>
      <c r="BL453" s="502"/>
      <c r="BM453" s="502"/>
      <c r="BN453" s="502"/>
      <c r="BO453" s="502"/>
      <c r="BP453" s="502"/>
      <c r="BQ453" s="502"/>
      <c r="BR453" s="502"/>
      <c r="BS453" s="502"/>
      <c r="BT453" s="502"/>
      <c r="BU453" s="502"/>
      <c r="BV453" s="502"/>
      <c r="BW453" s="502"/>
      <c r="BX453" s="502"/>
      <c r="BY453" s="797"/>
      <c r="BZ453" s="797"/>
      <c r="CA453" s="797"/>
      <c r="CB453" s="797"/>
      <c r="CC453" s="797"/>
      <c r="CD453" s="797"/>
      <c r="CE453" s="797"/>
      <c r="CF453" s="797"/>
      <c r="CG453" s="797"/>
      <c r="CH453" s="797"/>
      <c r="CI453" s="797"/>
      <c r="CJ453" s="797"/>
      <c r="CK453" s="797"/>
      <c r="CL453" s="797"/>
      <c r="CM453" s="797"/>
      <c r="CN453" s="797"/>
      <c r="CO453" s="797"/>
      <c r="CP453" s="797"/>
      <c r="CQ453" s="797"/>
      <c r="CR453" s="797"/>
      <c r="CS453" s="797"/>
      <c r="CT453" s="797"/>
      <c r="CU453" s="797"/>
    </row>
    <row r="454" spans="1:99" x14ac:dyDescent="0.25">
      <c r="A454" s="171"/>
      <c r="B454" s="171"/>
      <c r="C454" s="171"/>
      <c r="D454" s="171"/>
      <c r="E454" s="171"/>
      <c r="F454" s="171"/>
      <c r="G454" s="171"/>
      <c r="H454" s="171"/>
      <c r="I454" s="151"/>
      <c r="J454" s="151"/>
      <c r="K454" s="151"/>
      <c r="L454" s="151"/>
      <c r="M454" s="151"/>
      <c r="N454" s="171"/>
      <c r="O454" s="171"/>
      <c r="P454" s="171"/>
      <c r="Q454" s="171"/>
      <c r="R454" s="171"/>
      <c r="S454" s="151"/>
      <c r="T454" s="171"/>
      <c r="U454" s="171"/>
      <c r="V454" s="171"/>
      <c r="W454" s="171"/>
      <c r="X454" s="171"/>
      <c r="Y454" s="171"/>
      <c r="Z454" s="171"/>
      <c r="AA454" s="171"/>
      <c r="AB454" s="151"/>
      <c r="AC454" s="151"/>
      <c r="AD454" s="151"/>
      <c r="AE454" s="151"/>
      <c r="AF454" s="151"/>
      <c r="AG454" s="171"/>
      <c r="AH454" s="171"/>
      <c r="AI454" s="171"/>
      <c r="AJ454" s="171"/>
      <c r="AK454" s="171"/>
      <c r="AL454" s="151"/>
      <c r="AM454" s="502"/>
      <c r="AN454" s="502"/>
      <c r="AO454" s="502"/>
      <c r="AP454" s="502"/>
      <c r="AQ454" s="502"/>
      <c r="AR454" s="502"/>
      <c r="AS454" s="502"/>
      <c r="AT454" s="502"/>
      <c r="AU454" s="502"/>
      <c r="AV454" s="502"/>
      <c r="AW454" s="502"/>
      <c r="AX454" s="502"/>
      <c r="AY454" s="502"/>
      <c r="AZ454" s="502"/>
      <c r="BA454" s="502"/>
      <c r="BB454" s="502"/>
      <c r="BC454" s="502"/>
      <c r="BD454" s="502"/>
      <c r="BE454" s="502"/>
      <c r="BF454" s="502"/>
      <c r="BG454" s="502"/>
      <c r="BH454" s="502"/>
      <c r="BI454" s="502"/>
      <c r="BJ454" s="502"/>
      <c r="BK454" s="502"/>
      <c r="BL454" s="502"/>
      <c r="BM454" s="502"/>
      <c r="BN454" s="502"/>
      <c r="BO454" s="502"/>
      <c r="BP454" s="502"/>
      <c r="BQ454" s="502"/>
      <c r="BR454" s="502"/>
      <c r="BS454" s="502"/>
      <c r="BT454" s="502"/>
      <c r="BU454" s="502"/>
      <c r="BV454" s="502"/>
      <c r="BW454" s="502"/>
      <c r="BX454" s="502"/>
      <c r="BY454" s="797"/>
      <c r="BZ454" s="797"/>
      <c r="CA454" s="797"/>
      <c r="CB454" s="797"/>
      <c r="CC454" s="797"/>
      <c r="CD454" s="797"/>
      <c r="CE454" s="797"/>
      <c r="CF454" s="797"/>
      <c r="CG454" s="797"/>
      <c r="CH454" s="797"/>
      <c r="CI454" s="797"/>
      <c r="CJ454" s="797"/>
      <c r="CK454" s="797"/>
      <c r="CL454" s="797"/>
      <c r="CM454" s="797"/>
      <c r="CN454" s="797"/>
      <c r="CO454" s="797"/>
      <c r="CP454" s="797"/>
      <c r="CQ454" s="797"/>
      <c r="CR454" s="797"/>
      <c r="CS454" s="797"/>
      <c r="CT454" s="797"/>
      <c r="CU454" s="797"/>
    </row>
    <row r="455" spans="1:99" x14ac:dyDescent="0.25">
      <c r="A455" s="171"/>
      <c r="B455" s="171"/>
      <c r="C455" s="171"/>
      <c r="D455" s="171"/>
      <c r="E455" s="171"/>
      <c r="F455" s="171"/>
      <c r="G455" s="171"/>
      <c r="H455" s="171"/>
      <c r="I455" s="151"/>
      <c r="J455" s="151"/>
      <c r="K455" s="151"/>
      <c r="L455" s="151"/>
      <c r="M455" s="151"/>
      <c r="N455" s="171"/>
      <c r="O455" s="171"/>
      <c r="P455" s="171"/>
      <c r="Q455" s="171"/>
      <c r="R455" s="171"/>
      <c r="S455" s="151"/>
      <c r="T455" s="171"/>
      <c r="U455" s="171"/>
      <c r="V455" s="171"/>
      <c r="W455" s="171"/>
      <c r="X455" s="171"/>
      <c r="Y455" s="171"/>
      <c r="Z455" s="171"/>
      <c r="AA455" s="171"/>
      <c r="AB455" s="151"/>
      <c r="AC455" s="151"/>
      <c r="AD455" s="151"/>
      <c r="AE455" s="151"/>
      <c r="AF455" s="151"/>
      <c r="AG455" s="171"/>
      <c r="AH455" s="171"/>
      <c r="AI455" s="171"/>
      <c r="AJ455" s="171"/>
      <c r="AK455" s="171"/>
      <c r="AL455" s="151"/>
      <c r="AM455" s="502"/>
      <c r="AN455" s="502"/>
      <c r="AO455" s="502"/>
      <c r="AP455" s="502"/>
      <c r="AQ455" s="502"/>
      <c r="AR455" s="502"/>
      <c r="AS455" s="502"/>
      <c r="AT455" s="502"/>
      <c r="AU455" s="502"/>
      <c r="AV455" s="502"/>
      <c r="AW455" s="502"/>
      <c r="AX455" s="502"/>
      <c r="AY455" s="502"/>
      <c r="AZ455" s="502"/>
      <c r="BA455" s="502"/>
      <c r="BB455" s="502"/>
      <c r="BC455" s="502"/>
      <c r="BD455" s="502"/>
      <c r="BE455" s="502"/>
      <c r="BF455" s="502"/>
      <c r="BG455" s="502"/>
      <c r="BH455" s="502"/>
      <c r="BI455" s="502"/>
      <c r="BJ455" s="502"/>
      <c r="BK455" s="502"/>
      <c r="BL455" s="502"/>
      <c r="BM455" s="502"/>
      <c r="BN455" s="502"/>
      <c r="BO455" s="502"/>
      <c r="BP455" s="502"/>
      <c r="BQ455" s="502"/>
      <c r="BR455" s="502"/>
      <c r="BS455" s="502"/>
      <c r="BT455" s="502"/>
      <c r="BU455" s="502"/>
      <c r="BV455" s="502"/>
      <c r="BW455" s="502"/>
      <c r="BX455" s="502"/>
      <c r="BY455" s="797"/>
      <c r="BZ455" s="797"/>
      <c r="CA455" s="797"/>
      <c r="CB455" s="797"/>
      <c r="CC455" s="797"/>
      <c r="CD455" s="797"/>
      <c r="CE455" s="797"/>
      <c r="CF455" s="797"/>
      <c r="CG455" s="797"/>
      <c r="CH455" s="797"/>
      <c r="CI455" s="797"/>
      <c r="CJ455" s="797"/>
      <c r="CK455" s="797"/>
      <c r="CL455" s="797"/>
      <c r="CM455" s="797"/>
      <c r="CN455" s="797"/>
      <c r="CO455" s="797"/>
      <c r="CP455" s="797"/>
      <c r="CQ455" s="797"/>
      <c r="CR455" s="797"/>
      <c r="CS455" s="797"/>
      <c r="CT455" s="797"/>
      <c r="CU455" s="797"/>
    </row>
    <row r="456" spans="1:99" x14ac:dyDescent="0.25">
      <c r="A456" s="152">
        <f>P471</f>
        <v>224.72683799666552</v>
      </c>
      <c r="B456" s="154">
        <f>(A456*10^0.125)</f>
        <v>299.6780548508487</v>
      </c>
      <c r="C456" s="154">
        <f>INT(B456)</f>
        <v>299</v>
      </c>
      <c r="D456" s="154">
        <f>C456*4</f>
        <v>1196</v>
      </c>
      <c r="E456" s="154">
        <f>D456/5</f>
        <v>239.2</v>
      </c>
      <c r="F456" s="149">
        <f>E456^2</f>
        <v>57216.639999999992</v>
      </c>
      <c r="G456" s="149">
        <f>(F456^0.125)</f>
        <v>3.9326952517764404</v>
      </c>
      <c r="H456" s="149">
        <f>G456/3</f>
        <v>1.3108984172588134</v>
      </c>
      <c r="I456" s="149">
        <f>(H456*100)</f>
        <v>131.08984172588134</v>
      </c>
      <c r="J456" s="149">
        <f>(F456/100)</f>
        <v>572.16639999999995</v>
      </c>
      <c r="K456" s="149">
        <f>(J456+I456)/2</f>
        <v>351.62812086294065</v>
      </c>
      <c r="L456" s="149">
        <f>(K456+I456)/2</f>
        <v>241.358981294411</v>
      </c>
      <c r="M456" s="149">
        <f>(L456+A456)/2</f>
        <v>233.04290964553826</v>
      </c>
      <c r="N456" s="149">
        <f>M456*100^0.5</f>
        <v>2330.4290964553825</v>
      </c>
      <c r="O456" s="149">
        <f>INT(N456)/10</f>
        <v>233</v>
      </c>
      <c r="P456" s="149">
        <f>(O456)^2/10000</f>
        <v>5.4288999999999996</v>
      </c>
      <c r="Q456" s="149">
        <f>(P456+I456+M456)/3</f>
        <v>123.18721712380653</v>
      </c>
      <c r="R456" s="150">
        <f>Q461^0.5</f>
        <v>36.323259941237922</v>
      </c>
      <c r="S456" s="151"/>
      <c r="T456" s="152">
        <f>AI471</f>
        <v>224.65757386842517</v>
      </c>
      <c r="U456" s="154">
        <f>(T456*10^0.125)</f>
        <v>299.5856896513601</v>
      </c>
      <c r="V456" s="154">
        <f>INT(U456)</f>
        <v>299</v>
      </c>
      <c r="W456" s="154">
        <f>V456*4</f>
        <v>1196</v>
      </c>
      <c r="X456" s="154">
        <f>W456/5</f>
        <v>239.2</v>
      </c>
      <c r="Y456" s="149">
        <f>X456^2</f>
        <v>57216.639999999992</v>
      </c>
      <c r="Z456" s="149">
        <f>(Y456^0.125)</f>
        <v>3.9326952517764404</v>
      </c>
      <c r="AA456" s="149">
        <f>Z456/3</f>
        <v>1.3108984172588134</v>
      </c>
      <c r="AB456" s="149">
        <f>(AA456*100)</f>
        <v>131.08984172588134</v>
      </c>
      <c r="AC456" s="149">
        <f>(Y456/100)</f>
        <v>572.16639999999995</v>
      </c>
      <c r="AD456" s="149">
        <f>(AC456+AB456)/2</f>
        <v>351.62812086294065</v>
      </c>
      <c r="AE456" s="149">
        <f>(AD456+AB456)/2</f>
        <v>241.358981294411</v>
      </c>
      <c r="AF456" s="149">
        <f>(AE456+T456)/2</f>
        <v>233.0082775814181</v>
      </c>
      <c r="AG456" s="149">
        <f>AF456*100^0.5</f>
        <v>2330.0827758141809</v>
      </c>
      <c r="AH456" s="149">
        <f>INT(AG456)/10</f>
        <v>233</v>
      </c>
      <c r="AI456" s="149">
        <f>(AH456)^2/10000</f>
        <v>5.4288999999999996</v>
      </c>
      <c r="AJ456" s="149">
        <f>(AI456+AB456+AF456)/3</f>
        <v>123.17567310243315</v>
      </c>
      <c r="AK456" s="150">
        <f>AJ461^0.5</f>
        <v>36.323259941237922</v>
      </c>
      <c r="AL456" s="151"/>
      <c r="AM456" s="503">
        <f>BB471</f>
        <v>224.66373118788994</v>
      </c>
      <c r="AN456" s="505">
        <f>(AM456*10^0.125)</f>
        <v>299.59390056883103</v>
      </c>
      <c r="AO456" s="505">
        <f>INT(AN456)</f>
        <v>299</v>
      </c>
      <c r="AP456" s="505">
        <f>AO456*4</f>
        <v>1196</v>
      </c>
      <c r="AQ456" s="505">
        <f>AP456/5</f>
        <v>239.2</v>
      </c>
      <c r="AR456" s="500">
        <f>AQ456^2</f>
        <v>57216.639999999992</v>
      </c>
      <c r="AS456" s="500">
        <f>(AR456^0.125)</f>
        <v>3.9326952517764404</v>
      </c>
      <c r="AT456" s="500">
        <f>AS456/3</f>
        <v>1.3108984172588134</v>
      </c>
      <c r="AU456" s="500">
        <f>(AT456*100)</f>
        <v>131.08984172588134</v>
      </c>
      <c r="AV456" s="500">
        <f>(AR456/100)</f>
        <v>572.16639999999995</v>
      </c>
      <c r="AW456" s="500">
        <f>(AV456+AU456)/2</f>
        <v>351.62812086294065</v>
      </c>
      <c r="AX456" s="500">
        <f>(AW456+AU456)/2</f>
        <v>241.358981294411</v>
      </c>
      <c r="AY456" s="500">
        <f>(AX456+AM456)/2</f>
        <v>233.01135624115045</v>
      </c>
      <c r="AZ456" s="500">
        <f>AY456*100^0.5</f>
        <v>2330.1135624115045</v>
      </c>
      <c r="BA456" s="500">
        <f>INT(AZ456)/10</f>
        <v>233</v>
      </c>
      <c r="BB456" s="500">
        <f>(BA456)^2/10000</f>
        <v>5.4288999999999996</v>
      </c>
      <c r="BC456" s="500">
        <f>(BB456+AU456+AY456)/3</f>
        <v>123.17669932234394</v>
      </c>
      <c r="BD456" s="501">
        <f>BC461^0.5</f>
        <v>32.451591404174579</v>
      </c>
      <c r="BE456" s="502"/>
      <c r="BF456" s="503">
        <f>BU471</f>
        <v>224.85295753254852</v>
      </c>
      <c r="BG456" s="505">
        <f>(BF456*10^0.125)</f>
        <v>299.84623795496316</v>
      </c>
      <c r="BH456" s="505">
        <f>INT(BG456)</f>
        <v>299</v>
      </c>
      <c r="BI456" s="505">
        <f>BH456*4</f>
        <v>1196</v>
      </c>
      <c r="BJ456" s="505">
        <f>BI456/5</f>
        <v>239.2</v>
      </c>
      <c r="BK456" s="500">
        <f>BJ456^2</f>
        <v>57216.639999999992</v>
      </c>
      <c r="BL456" s="500">
        <f>(BK456^0.125)</f>
        <v>3.9326952517764404</v>
      </c>
      <c r="BM456" s="500">
        <f>BL456/3</f>
        <v>1.3108984172588134</v>
      </c>
      <c r="BN456" s="500">
        <f>(BM456*100)</f>
        <v>131.08984172588134</v>
      </c>
      <c r="BO456" s="500">
        <f>(BK456/100)</f>
        <v>572.16639999999995</v>
      </c>
      <c r="BP456" s="500">
        <f>(BO456+BN456)/2</f>
        <v>351.62812086294065</v>
      </c>
      <c r="BQ456" s="500">
        <f>(BP456+BN456)/2</f>
        <v>241.358981294411</v>
      </c>
      <c r="BR456" s="500">
        <f>(BQ456+BF456)/2</f>
        <v>233.10596941347976</v>
      </c>
      <c r="BS456" s="500">
        <f>BR456*100^0.5</f>
        <v>2331.0596941347976</v>
      </c>
      <c r="BT456" s="500">
        <f>INT(BS456)/10</f>
        <v>233.1</v>
      </c>
      <c r="BU456" s="500">
        <f>(BT456)^2/10000</f>
        <v>5.4335610000000001</v>
      </c>
      <c r="BV456" s="500">
        <f>(BU456+BN456+BR456)/3</f>
        <v>123.20979071312036</v>
      </c>
      <c r="BW456" s="501">
        <f>BV461^0.5</f>
        <v>32.451591404174579</v>
      </c>
      <c r="BX456" s="502"/>
      <c r="BY456" s="797"/>
      <c r="BZ456" s="797"/>
      <c r="CA456" s="797"/>
      <c r="CB456" s="797"/>
      <c r="CC456" s="797"/>
      <c r="CD456" s="797"/>
      <c r="CE456" s="797"/>
      <c r="CF456" s="797"/>
      <c r="CG456" s="797"/>
      <c r="CH456" s="797"/>
      <c r="CI456" s="797"/>
      <c r="CJ456" s="797"/>
      <c r="CK456" s="797"/>
      <c r="CL456" s="797"/>
      <c r="CM456" s="797"/>
      <c r="CN456" s="797"/>
      <c r="CO456" s="797"/>
      <c r="CP456" s="797"/>
      <c r="CQ456" s="797"/>
      <c r="CR456" s="797"/>
      <c r="CS456" s="797"/>
      <c r="CT456" s="797"/>
      <c r="CU456" s="797"/>
    </row>
    <row r="457" spans="1:99" x14ac:dyDescent="0.25">
      <c r="A457" s="163">
        <f>(O458-O457)</f>
        <v>3.4647696220147566</v>
      </c>
      <c r="B457" s="154">
        <f>(B458+A459)/2</f>
        <v>217.98095236710265</v>
      </c>
      <c r="C457" s="164">
        <f>(D459*C459*B459*C458*D458*A457)</f>
        <v>9625604765681.9551</v>
      </c>
      <c r="D457" s="154">
        <f>(C458*C457*A457)</f>
        <v>10832713855.743704</v>
      </c>
      <c r="E457" s="163">
        <f>INT(A457+1)</f>
        <v>4</v>
      </c>
      <c r="F457" s="165">
        <f>(Q469*-1)</f>
        <v>874.06562104392265</v>
      </c>
      <c r="G457" s="161"/>
      <c r="H457" s="152">
        <f>IF(F457&lt;0,1,-1)</f>
        <v>-1</v>
      </c>
      <c r="I457" s="161"/>
      <c r="J457" s="161"/>
      <c r="K457" s="161"/>
      <c r="L457" s="161"/>
      <c r="M457" s="161"/>
      <c r="N457" s="161">
        <f>(M456+O456)/2</f>
        <v>233.02145482276913</v>
      </c>
      <c r="O457" s="161">
        <f>N457-A456</f>
        <v>8.2946168261036064</v>
      </c>
      <c r="P457" s="161">
        <f>(Q461+R459)/2</f>
        <v>1307.6896063793697</v>
      </c>
      <c r="Q457" s="162">
        <f>(Q460*A457*100)</f>
        <v>-679.38708596990148</v>
      </c>
      <c r="R457" s="150">
        <f>INT(R456)</f>
        <v>36</v>
      </c>
      <c r="S457" s="151"/>
      <c r="T457" s="163">
        <f>(AH458-AH457)</f>
        <v>3.3565444216391995</v>
      </c>
      <c r="U457" s="154">
        <f>(U458+T459)/2</f>
        <v>217.96688309105383</v>
      </c>
      <c r="V457" s="164">
        <f>(W459*V459*U459*V458*W458*T457)</f>
        <v>6790297108728.834</v>
      </c>
      <c r="W457" s="154">
        <f>(V458*V457*T457)</f>
        <v>7982559363.2644615</v>
      </c>
      <c r="X457" s="163">
        <f>INT(T457+1)</f>
        <v>4</v>
      </c>
      <c r="Y457" s="165">
        <f>(AJ469*-1)</f>
        <v>338.7645736847453</v>
      </c>
      <c r="Z457" s="161"/>
      <c r="AA457" s="152">
        <f>IF(Y457&lt;0,1,-1)</f>
        <v>-1</v>
      </c>
      <c r="AB457" s="161"/>
      <c r="AC457" s="161"/>
      <c r="AD457" s="161"/>
      <c r="AE457" s="161"/>
      <c r="AF457" s="161"/>
      <c r="AG457" s="161">
        <f>(AF456+AH456)/2</f>
        <v>233.00413879070905</v>
      </c>
      <c r="AH457" s="161">
        <f>AG457-T456</f>
        <v>8.3465649222838749</v>
      </c>
      <c r="AI457" s="161">
        <f>(AJ461+AK459)/2</f>
        <v>1307.6896063793697</v>
      </c>
      <c r="AJ457" s="162">
        <f>(AJ460*T457*100)</f>
        <v>-617.77903692161806</v>
      </c>
      <c r="AK457" s="150">
        <f>INT(AK456)</f>
        <v>36</v>
      </c>
      <c r="AL457" s="151"/>
      <c r="AM457" s="514">
        <f>(BA458-BA457)</f>
        <v>3.366165233302894</v>
      </c>
      <c r="AN457" s="505">
        <f>(AN458+AM459)/2</f>
        <v>217.9681337965701</v>
      </c>
      <c r="AO457" s="515">
        <f>(AP459*AO459*AN459*AO458*AP458*AM457)</f>
        <v>7007104493620.8252</v>
      </c>
      <c r="AP457" s="505">
        <f>(AO458*AO457*AM457)</f>
        <v>8205190087.6939678</v>
      </c>
      <c r="AQ457" s="514">
        <f>INT(AM457+1)</f>
        <v>4</v>
      </c>
      <c r="AR457" s="516">
        <f>(BC469*-1)</f>
        <v>503.97242482830376</v>
      </c>
      <c r="AS457" s="512"/>
      <c r="AT457" s="503">
        <f>IF(AR457&lt;0,1,-1)</f>
        <v>-1</v>
      </c>
      <c r="AU457" s="512"/>
      <c r="AV457" s="512"/>
      <c r="AW457" s="512"/>
      <c r="AX457" s="512"/>
      <c r="AY457" s="512"/>
      <c r="AZ457" s="512">
        <f>(AY456+BA456)/2</f>
        <v>233.00567812057523</v>
      </c>
      <c r="BA457" s="512">
        <f>AZ457-AM456</f>
        <v>8.3419469326852891</v>
      </c>
      <c r="BB457" s="512">
        <f>(BC461+BD459)/2</f>
        <v>1038.5528923317488</v>
      </c>
      <c r="BC457" s="513">
        <f>(BC460*AM457*100)</f>
        <v>-623.13433276610101</v>
      </c>
      <c r="BD457" s="501">
        <f>INT(BD456)</f>
        <v>32</v>
      </c>
      <c r="BE457" s="502"/>
      <c r="BF457" s="514">
        <f>(BT458-BT457)</f>
        <v>3.5696703968319241</v>
      </c>
      <c r="BG457" s="505">
        <f>(BG458+BF459)/2</f>
        <v>218.0506911478289</v>
      </c>
      <c r="BH457" s="515">
        <f>(BI459*BH459*BG459*BH458*BI458*BF457)</f>
        <v>13410565619337.443</v>
      </c>
      <c r="BI457" s="505">
        <f>(BH458*BH457*BF457)</f>
        <v>14468934973.106262</v>
      </c>
      <c r="BJ457" s="514">
        <f>INT(BF457+1)</f>
        <v>4</v>
      </c>
      <c r="BK457" s="516">
        <f>(BV469*-1)</f>
        <v>516.45315286374989</v>
      </c>
      <c r="BL457" s="512"/>
      <c r="BM457" s="503">
        <f>IF(BK457&lt;0,1,-1)</f>
        <v>-1</v>
      </c>
      <c r="BN457" s="512"/>
      <c r="BO457" s="512"/>
      <c r="BP457" s="512"/>
      <c r="BQ457" s="512"/>
      <c r="BR457" s="512"/>
      <c r="BS457" s="512">
        <f>(BR456+BT456)/2</f>
        <v>233.10298470673987</v>
      </c>
      <c r="BT457" s="512">
        <f>BS457-BF456</f>
        <v>8.2500271741913593</v>
      </c>
      <c r="BU457" s="512">
        <f>(BV461+BW459)/2</f>
        <v>1038.5528923317488</v>
      </c>
      <c r="BV457" s="513">
        <f>(BV460*BF457*100)</f>
        <v>-737.30927121164279</v>
      </c>
      <c r="BW457" s="501">
        <f>INT(BW456)</f>
        <v>32</v>
      </c>
      <c r="BX457" s="502"/>
      <c r="BY457" s="797"/>
      <c r="BZ457" s="797"/>
      <c r="CA457" s="797"/>
      <c r="CB457" s="797"/>
      <c r="CC457" s="797"/>
      <c r="CD457" s="797"/>
      <c r="CE457" s="797"/>
      <c r="CF457" s="797"/>
      <c r="CG457" s="797"/>
      <c r="CH457" s="797"/>
      <c r="CI457" s="797"/>
      <c r="CJ457" s="797"/>
      <c r="CK457" s="797"/>
      <c r="CL457" s="797"/>
      <c r="CM457" s="797"/>
      <c r="CN457" s="797"/>
      <c r="CO457" s="797"/>
      <c r="CP457" s="797"/>
      <c r="CQ457" s="797"/>
      <c r="CR457" s="797"/>
      <c r="CS457" s="797"/>
      <c r="CT457" s="797"/>
      <c r="CU457" s="797"/>
    </row>
    <row r="458" spans="1:99" x14ac:dyDescent="0.25">
      <c r="A458" s="163">
        <f>N457</f>
        <v>233.02145482276913</v>
      </c>
      <c r="B458" s="163">
        <f>(N457+N459)/2</f>
        <v>222.99445318565813</v>
      </c>
      <c r="C458" s="154">
        <f>(A457/D459)</f>
        <v>3.248141073135557E-4</v>
      </c>
      <c r="D458" s="154">
        <f>(A457+B459+C459+D459)</f>
        <v>24416.010485731633</v>
      </c>
      <c r="E458" s="173">
        <f>(E457*C459)</f>
        <v>12314.736059596835</v>
      </c>
      <c r="F458" s="174"/>
      <c r="G458" s="161"/>
      <c r="H458" s="161"/>
      <c r="I458" s="161"/>
      <c r="J458" s="161"/>
      <c r="K458" s="161"/>
      <c r="L458" s="161"/>
      <c r="M458" s="161">
        <f>(N457+N459)/2</f>
        <v>222.99445318565813</v>
      </c>
      <c r="N458" s="161">
        <f>(I456+N457)/2</f>
        <v>182.05564827432522</v>
      </c>
      <c r="O458" s="161">
        <f>A456-N459</f>
        <v>11.759386448118363</v>
      </c>
      <c r="P458" s="161"/>
      <c r="Q458" s="149"/>
      <c r="R458" s="171"/>
      <c r="S458" s="151"/>
      <c r="T458" s="163">
        <f>AG457</f>
        <v>233.00413879070905</v>
      </c>
      <c r="U458" s="163">
        <f>(AG457+AG459)/2</f>
        <v>222.97930165760556</v>
      </c>
      <c r="V458" s="154">
        <f>(T457/W459)</f>
        <v>3.5023615831550906E-4</v>
      </c>
      <c r="W458" s="154">
        <f>(T457+U459+V459+W459)</f>
        <v>22025.893795787015</v>
      </c>
      <c r="X458" s="173">
        <f>(X457*V459)</f>
        <v>11420.865336230116</v>
      </c>
      <c r="Y458" s="174"/>
      <c r="Z458" s="161"/>
      <c r="AA458" s="161"/>
      <c r="AB458" s="161"/>
      <c r="AC458" s="161"/>
      <c r="AD458" s="161"/>
      <c r="AE458" s="161"/>
      <c r="AF458" s="161">
        <f>(AG457+AG459)/2</f>
        <v>222.97930165760556</v>
      </c>
      <c r="AG458" s="161">
        <f>(AB456+AG457)/2</f>
        <v>182.04699025829518</v>
      </c>
      <c r="AH458" s="161">
        <f>T456-AG459</f>
        <v>11.703109343923074</v>
      </c>
      <c r="AI458" s="161"/>
      <c r="AJ458" s="149"/>
      <c r="AK458" s="171"/>
      <c r="AL458" s="151"/>
      <c r="AM458" s="514">
        <f>AZ457</f>
        <v>233.00567812057523</v>
      </c>
      <c r="AN458" s="514">
        <f>(AZ457+AZ459)/2</f>
        <v>222.98064857123848</v>
      </c>
      <c r="AO458" s="505">
        <f>(AM457/AP459)</f>
        <v>3.4786811395267692E-4</v>
      </c>
      <c r="AP458" s="505">
        <f>(AM457+AN459+AO459+AP459)</f>
        <v>22231.130528993512</v>
      </c>
      <c r="AQ458" s="523">
        <f>(AQ457*AO459)</f>
        <v>11498.610650311426</v>
      </c>
      <c r="AR458" s="524"/>
      <c r="AS458" s="512"/>
      <c r="AT458" s="512"/>
      <c r="AU458" s="512"/>
      <c r="AV458" s="512"/>
      <c r="AW458" s="512"/>
      <c r="AX458" s="512"/>
      <c r="AY458" s="512">
        <f>(AZ457+AZ459)/2</f>
        <v>222.98064857123848</v>
      </c>
      <c r="AZ458" s="512">
        <f>(AU456+AZ457)/2</f>
        <v>182.04775992322828</v>
      </c>
      <c r="BA458" s="512">
        <f>AM456-AZ459</f>
        <v>11.708112165988183</v>
      </c>
      <c r="BB458" s="512"/>
      <c r="BC458" s="500"/>
      <c r="BD458" s="502"/>
      <c r="BE458" s="502"/>
      <c r="BF458" s="514">
        <f>BS457</f>
        <v>233.10298470673987</v>
      </c>
      <c r="BG458" s="514">
        <f>(BS457+BS459)/2</f>
        <v>223.06812233413257</v>
      </c>
      <c r="BH458" s="505">
        <f>(BF457/BI459)</f>
        <v>3.0224654952551146E-4</v>
      </c>
      <c r="BI458" s="505">
        <f>(BF457+BG459+BH459+BI459)</f>
        <v>26933.044320948095</v>
      </c>
      <c r="BJ458" s="523">
        <f>(BJ457*BH459)</f>
        <v>13234.228831659088</v>
      </c>
      <c r="BK458" s="524"/>
      <c r="BL458" s="512"/>
      <c r="BM458" s="512"/>
      <c r="BN458" s="512"/>
      <c r="BO458" s="512"/>
      <c r="BP458" s="512"/>
      <c r="BQ458" s="512"/>
      <c r="BR458" s="512">
        <f>(BS457+BS459)/2</f>
        <v>223.06812233413257</v>
      </c>
      <c r="BS458" s="512">
        <f>(BN456+BS457)/2</f>
        <v>182.09641321631062</v>
      </c>
      <c r="BT458" s="512">
        <f>BF456-BS459</f>
        <v>11.819697571023283</v>
      </c>
      <c r="BU458" s="512"/>
      <c r="BV458" s="500"/>
      <c r="BW458" s="502"/>
      <c r="BX458" s="502"/>
      <c r="BY458" s="797"/>
      <c r="BZ458" s="797"/>
      <c r="CA458" s="797"/>
      <c r="CB458" s="797"/>
      <c r="CC458" s="797"/>
      <c r="CD458" s="797"/>
      <c r="CE458" s="797"/>
      <c r="CF458" s="797"/>
      <c r="CG458" s="797"/>
      <c r="CH458" s="797"/>
      <c r="CI458" s="797"/>
      <c r="CJ458" s="797"/>
      <c r="CK458" s="797"/>
      <c r="CL458" s="797"/>
      <c r="CM458" s="797"/>
      <c r="CN458" s="797"/>
      <c r="CO458" s="797"/>
      <c r="CP458" s="797"/>
      <c r="CQ458" s="797"/>
      <c r="CR458" s="797"/>
      <c r="CS458" s="797"/>
      <c r="CT458" s="797"/>
      <c r="CU458" s="797"/>
    </row>
    <row r="459" spans="1:99" x14ac:dyDescent="0.25">
      <c r="A459" s="277">
        <f>N459</f>
        <v>212.96745154854716</v>
      </c>
      <c r="B459" s="154">
        <f>G465</f>
        <v>10666.930850605204</v>
      </c>
      <c r="C459" s="154">
        <f>(B459/A457)</f>
        <v>3078.6840148992087</v>
      </c>
      <c r="D459" s="154">
        <f>(A457*C459)</f>
        <v>10666.930850605204</v>
      </c>
      <c r="E459" s="163">
        <f>INT(A457)+1</f>
        <v>4</v>
      </c>
      <c r="F459" s="174">
        <f>(Q469)</f>
        <v>-874.06562104392265</v>
      </c>
      <c r="G459" s="161"/>
      <c r="H459" s="152">
        <f>IF(F457&gt;0,-1,1)</f>
        <v>-1</v>
      </c>
      <c r="I459" s="161"/>
      <c r="J459" s="161"/>
      <c r="K459" s="161"/>
      <c r="L459" s="161"/>
      <c r="M459" s="161">
        <f>(N458+P456*2)</f>
        <v>192.91344827432522</v>
      </c>
      <c r="N459" s="161">
        <f>(N457+M459)/2</f>
        <v>212.96745154854716</v>
      </c>
      <c r="O459" s="161">
        <f>(N458+J456)/2</f>
        <v>377.11102413716259</v>
      </c>
      <c r="P459" s="152">
        <f>IF(Q469&gt;1,-1,1)</f>
        <v>1</v>
      </c>
      <c r="Q459" s="162">
        <f>F467-F464</f>
        <v>-3.9295619996720337</v>
      </c>
      <c r="R459" s="150">
        <f>R457^2</f>
        <v>1296</v>
      </c>
      <c r="S459" s="151"/>
      <c r="T459" s="277">
        <f>AG459</f>
        <v>212.9544645245021</v>
      </c>
      <c r="U459" s="154">
        <f>Z465</f>
        <v>9583.6604586539233</v>
      </c>
      <c r="V459" s="154">
        <f>(U459/T457)</f>
        <v>2855.2163340575289</v>
      </c>
      <c r="W459" s="154">
        <f>(T457*V459)</f>
        <v>9583.6604586539233</v>
      </c>
      <c r="X459" s="163">
        <f>INT(T457)+1</f>
        <v>4</v>
      </c>
      <c r="Y459" s="174">
        <f>(AJ469)</f>
        <v>-338.7645736847453</v>
      </c>
      <c r="Z459" s="161"/>
      <c r="AA459" s="152">
        <f>IF(Y457&gt;0,-1,1)</f>
        <v>-1</v>
      </c>
      <c r="AB459" s="161"/>
      <c r="AC459" s="161"/>
      <c r="AD459" s="161"/>
      <c r="AE459" s="161"/>
      <c r="AF459" s="161">
        <f>(AG458+AI456*2)</f>
        <v>192.90479025829518</v>
      </c>
      <c r="AG459" s="161">
        <f>(AG457+AF459)/2</f>
        <v>212.9544645245021</v>
      </c>
      <c r="AH459" s="161">
        <f>(AG458+AC456)/2</f>
        <v>377.10669512914757</v>
      </c>
      <c r="AI459" s="152">
        <f>IF(AJ469&gt;1,-1,1)</f>
        <v>1</v>
      </c>
      <c r="AJ459" s="162">
        <f>Y467-Y464</f>
        <v>-3.8003744710561014</v>
      </c>
      <c r="AK459" s="150">
        <f>AK457^2</f>
        <v>1296</v>
      </c>
      <c r="AL459" s="151"/>
      <c r="AM459" s="616">
        <f>AZ459</f>
        <v>212.95561902190175</v>
      </c>
      <c r="AN459" s="505">
        <f>AS465</f>
        <v>9676.5558505911758</v>
      </c>
      <c r="AO459" s="505">
        <f>(AN459/AM457)</f>
        <v>2874.6526625778565</v>
      </c>
      <c r="AP459" s="505">
        <f>(AM457*AO459)</f>
        <v>9676.5558505911758</v>
      </c>
      <c r="AQ459" s="514">
        <f>INT(AM457)+1</f>
        <v>4</v>
      </c>
      <c r="AR459" s="524">
        <f>(BC469)</f>
        <v>-503.97242482830376</v>
      </c>
      <c r="AS459" s="512"/>
      <c r="AT459" s="503">
        <f>IF(AR457&gt;0,-1,1)</f>
        <v>-1</v>
      </c>
      <c r="AU459" s="512"/>
      <c r="AV459" s="512"/>
      <c r="AW459" s="512"/>
      <c r="AX459" s="512"/>
      <c r="AY459" s="512">
        <f>(AZ458+BB456*2)</f>
        <v>192.90555992322828</v>
      </c>
      <c r="AZ459" s="512">
        <f>(AZ457+AY459)/2</f>
        <v>212.95561902190175</v>
      </c>
      <c r="BA459" s="512">
        <f>(AZ458+AV456)/2</f>
        <v>377.10707996161409</v>
      </c>
      <c r="BB459" s="503">
        <f>IF(BC469&gt;1,-1,1)</f>
        <v>1</v>
      </c>
      <c r="BC459" s="513">
        <f>AR467-AR464</f>
        <v>-3.811835242884972</v>
      </c>
      <c r="BD459" s="501">
        <f>BD457^2</f>
        <v>1024</v>
      </c>
      <c r="BE459" s="502"/>
      <c r="BF459" s="616">
        <f>BS459</f>
        <v>213.03325996152523</v>
      </c>
      <c r="BG459" s="505">
        <f>BL465</f>
        <v>11810.458721318246</v>
      </c>
      <c r="BH459" s="505">
        <f>(BG459/BF457)</f>
        <v>3308.5572079147719</v>
      </c>
      <c r="BI459" s="505">
        <f>(BF457*BH459)</f>
        <v>11810.458721318246</v>
      </c>
      <c r="BJ459" s="514">
        <f>INT(BF457)+1</f>
        <v>4</v>
      </c>
      <c r="BK459" s="524">
        <f>(BV469)</f>
        <v>-516.45315286374989</v>
      </c>
      <c r="BL459" s="512"/>
      <c r="BM459" s="503">
        <f>IF(BK457&gt;0,-1,1)</f>
        <v>-1</v>
      </c>
      <c r="BN459" s="512"/>
      <c r="BO459" s="512"/>
      <c r="BP459" s="512"/>
      <c r="BQ459" s="512"/>
      <c r="BR459" s="512">
        <f>(BS458+BU456*2)</f>
        <v>192.96353521631062</v>
      </c>
      <c r="BS459" s="512">
        <f>(BS457+BR459)/2</f>
        <v>213.03325996152523</v>
      </c>
      <c r="BT459" s="512">
        <f>(BS458+BO456)/2</f>
        <v>377.13140660815532</v>
      </c>
      <c r="BU459" s="503">
        <f>IF(BV469&gt;1,-1,1)</f>
        <v>1</v>
      </c>
      <c r="BV459" s="513">
        <f>BK467-BK464</f>
        <v>-4.0509798450744992</v>
      </c>
      <c r="BW459" s="501">
        <f>BW457^2</f>
        <v>1024</v>
      </c>
      <c r="BX459" s="502"/>
      <c r="BY459" s="797"/>
      <c r="BZ459" s="797"/>
      <c r="CA459" s="797"/>
      <c r="CB459" s="797"/>
      <c r="CC459" s="797"/>
      <c r="CD459" s="797"/>
      <c r="CE459" s="797"/>
      <c r="CF459" s="797"/>
      <c r="CG459" s="797"/>
      <c r="CH459" s="797"/>
      <c r="CI459" s="797"/>
      <c r="CJ459" s="797"/>
      <c r="CK459" s="797"/>
      <c r="CL459" s="797"/>
      <c r="CM459" s="797"/>
      <c r="CN459" s="797"/>
      <c r="CO459" s="797"/>
      <c r="CP459" s="797"/>
      <c r="CQ459" s="797"/>
      <c r="CR459" s="797"/>
      <c r="CS459" s="797"/>
      <c r="CT459" s="797"/>
      <c r="CU459" s="797"/>
    </row>
    <row r="460" spans="1:99" x14ac:dyDescent="0.25">
      <c r="A460" s="277">
        <f>(O458+O457)+A456</f>
        <v>244.78084127088749</v>
      </c>
      <c r="B460" s="154">
        <f>(A458+B458)/2</f>
        <v>228.00795400421362</v>
      </c>
      <c r="C460" s="163">
        <f>(C458)</f>
        <v>3.248141073135557E-4</v>
      </c>
      <c r="D460" s="154">
        <f>(D457*D458*D459*B459*A457)</f>
        <v>1.0427142211511552E+23</v>
      </c>
      <c r="E460" s="154">
        <f>(C460*A457)</f>
        <v>1.1254060518218489E-3</v>
      </c>
      <c r="F460" s="161">
        <f>(F462/O462)*O463-F463</f>
        <v>-871.03473717925124</v>
      </c>
      <c r="G460" s="161"/>
      <c r="H460" s="161"/>
      <c r="I460" s="161"/>
      <c r="J460" s="161"/>
      <c r="K460" s="161"/>
      <c r="L460" s="161"/>
      <c r="M460" s="161"/>
      <c r="N460" s="164">
        <f>(F460+Q469)*F463</f>
        <v>-1525332.2283943102</v>
      </c>
      <c r="O460" s="152">
        <f>H459</f>
        <v>-1</v>
      </c>
      <c r="P460" s="152">
        <f>IF(Q469&lt;100,1,-1)</f>
        <v>1</v>
      </c>
      <c r="Q460" s="162">
        <f>Q459+F467</f>
        <v>-1.9608434617215309</v>
      </c>
      <c r="R460" s="171"/>
      <c r="S460" s="151"/>
      <c r="T460" s="277">
        <f>(AH458+AH457)+T456</f>
        <v>244.70724813463212</v>
      </c>
      <c r="U460" s="154">
        <f>(T458+U458)/2</f>
        <v>227.99172022415729</v>
      </c>
      <c r="V460" s="163">
        <f>(V458)</f>
        <v>3.5023615831550906E-4</v>
      </c>
      <c r="W460" s="154">
        <f>(W457*W458*W459*U459*T457)</f>
        <v>5.4203949764630949E+22</v>
      </c>
      <c r="X460" s="154">
        <f>(V460*T457)</f>
        <v>1.1755832234502655E-3</v>
      </c>
      <c r="Y460" s="161">
        <f>(Y462/AH462)*AH463-Y463</f>
        <v>-337.22048223055742</v>
      </c>
      <c r="Z460" s="161"/>
      <c r="AA460" s="161"/>
      <c r="AB460" s="161"/>
      <c r="AC460" s="161"/>
      <c r="AD460" s="161"/>
      <c r="AE460" s="161"/>
      <c r="AF460" s="161"/>
      <c r="AG460" s="164">
        <f>(Y460+AJ469)*Y463</f>
        <v>-228999.78928440623</v>
      </c>
      <c r="AH460" s="152">
        <f>AA459</f>
        <v>-1</v>
      </c>
      <c r="AI460" s="152">
        <f>IF(AJ469&lt;100,1,-1)</f>
        <v>1</v>
      </c>
      <c r="AJ460" s="162">
        <f>AJ459+Y467</f>
        <v>-1.8405209623888128</v>
      </c>
      <c r="AK460" s="171"/>
      <c r="AL460" s="151"/>
      <c r="AM460" s="616">
        <f>(BA458+BA457)+AM456</f>
        <v>244.71379028656341</v>
      </c>
      <c r="AN460" s="505">
        <f>(AM458+AN458)/2</f>
        <v>227.99316334590685</v>
      </c>
      <c r="AO460" s="514">
        <f>(AO458)</f>
        <v>3.4786811395267692E-4</v>
      </c>
      <c r="AP460" s="505">
        <f>(AP457*AP458*AP459*AN459*AM457)</f>
        <v>5.7494624334493463E+22</v>
      </c>
      <c r="AQ460" s="505">
        <f>(AO460*AM457)</f>
        <v>1.1709815509621504E-3</v>
      </c>
      <c r="AR460" s="512">
        <f>(AR462/BA462)*BA463-AR463</f>
        <v>-501.73203690474048</v>
      </c>
      <c r="AS460" s="512"/>
      <c r="AT460" s="512"/>
      <c r="AU460" s="512"/>
      <c r="AV460" s="512"/>
      <c r="AW460" s="512"/>
      <c r="AX460" s="512"/>
      <c r="AY460" s="512"/>
      <c r="AZ460" s="515">
        <f>(AR460+BC469)*AR463</f>
        <v>-506847.31624024635</v>
      </c>
      <c r="BA460" s="503">
        <f>AT459</f>
        <v>-1</v>
      </c>
      <c r="BB460" s="503">
        <f>IF(BC469&lt;100,1,-1)</f>
        <v>1</v>
      </c>
      <c r="BC460" s="513">
        <f>BC459+AR467</f>
        <v>-1.8511697720633853</v>
      </c>
      <c r="BD460" s="502"/>
      <c r="BE460" s="502"/>
      <c r="BF460" s="616">
        <f>(BT458+BT457)+BF456</f>
        <v>244.92268227776316</v>
      </c>
      <c r="BG460" s="505">
        <f>(BF458+BG458)/2</f>
        <v>228.08555352043624</v>
      </c>
      <c r="BH460" s="514">
        <f>(BH458)</f>
        <v>3.0224654952551146E-4</v>
      </c>
      <c r="BI460" s="505">
        <f>(BI457*BI458*BI459*BG459*BF457)</f>
        <v>1.9403660189876799E+23</v>
      </c>
      <c r="BJ460" s="505">
        <f>(BH460*BF457)</f>
        <v>1.0789205603858123E-3</v>
      </c>
      <c r="BK460" s="512">
        <f>(BK462/BT462)*BT463-BK463</f>
        <v>-515.02252507461287</v>
      </c>
      <c r="BL460" s="512"/>
      <c r="BM460" s="512"/>
      <c r="BN460" s="512"/>
      <c r="BO460" s="512"/>
      <c r="BP460" s="512"/>
      <c r="BQ460" s="512"/>
      <c r="BR460" s="512"/>
      <c r="BS460" s="515">
        <f>(BK460+BV469)*BK463</f>
        <v>-532708.8659735414</v>
      </c>
      <c r="BT460" s="503">
        <f>BM459</f>
        <v>-1</v>
      </c>
      <c r="BU460" s="503">
        <f>IF(BV469&lt;100,1,-1)</f>
        <v>1</v>
      </c>
      <c r="BV460" s="513">
        <f>BV459+BK467</f>
        <v>-2.0654827736084638</v>
      </c>
      <c r="BW460" s="502"/>
      <c r="BX460" s="502"/>
      <c r="BY460" s="797"/>
      <c r="BZ460" s="797"/>
      <c r="CA460" s="797"/>
      <c r="CB460" s="797"/>
      <c r="CC460" s="797"/>
      <c r="CD460" s="797"/>
      <c r="CE460" s="797"/>
      <c r="CF460" s="797"/>
      <c r="CG460" s="797"/>
      <c r="CH460" s="797"/>
      <c r="CI460" s="797"/>
      <c r="CJ460" s="797"/>
      <c r="CK460" s="797"/>
      <c r="CL460" s="797"/>
      <c r="CM460" s="797"/>
      <c r="CN460" s="797"/>
      <c r="CO460" s="797"/>
      <c r="CP460" s="797"/>
      <c r="CQ460" s="797"/>
      <c r="CR460" s="797"/>
      <c r="CS460" s="797"/>
      <c r="CT460" s="797"/>
      <c r="CU460" s="797"/>
    </row>
    <row r="461" spans="1:99" x14ac:dyDescent="0.25">
      <c r="A461" s="277">
        <f>(O458*-1-O457)+A456</f>
        <v>204.67283472244355</v>
      </c>
      <c r="B461" s="154">
        <f>(B458+B457)/2</f>
        <v>220.48770277638039</v>
      </c>
      <c r="C461" s="154">
        <f>(B457+A459)/2</f>
        <v>215.4742019578249</v>
      </c>
      <c r="D461" s="154">
        <f>D457</f>
        <v>10832713855.743704</v>
      </c>
      <c r="E461" s="154">
        <f>(B458+A456)/2</f>
        <v>223.86064559116181</v>
      </c>
      <c r="F461" s="161">
        <f>(F463/O463)</f>
        <v>460.75355543989576</v>
      </c>
      <c r="G461" s="161"/>
      <c r="H461" s="161"/>
      <c r="I461" s="161"/>
      <c r="J461" s="161"/>
      <c r="K461" s="161"/>
      <c r="L461" s="161"/>
      <c r="M461" s="161"/>
      <c r="N461" s="161"/>
      <c r="O461" s="152">
        <f>H457</f>
        <v>-1</v>
      </c>
      <c r="P461" s="152">
        <f>IF(Q469&lt;0,-1,1)</f>
        <v>-1</v>
      </c>
      <c r="Q461" s="174">
        <f>Q436</f>
        <v>1319.3792127587394</v>
      </c>
      <c r="R461" s="171"/>
      <c r="S461" s="151"/>
      <c r="T461" s="277">
        <f>(AH458*-1-AH457)+T456</f>
        <v>204.60789960221823</v>
      </c>
      <c r="U461" s="154">
        <f>(U458+U457)/2</f>
        <v>220.4730923743297</v>
      </c>
      <c r="V461" s="154">
        <f>(U457+T459)/2</f>
        <v>215.46067380777797</v>
      </c>
      <c r="W461" s="154">
        <f>W457</f>
        <v>7982559363.2644615</v>
      </c>
      <c r="X461" s="154">
        <f>(U458+T456)/2</f>
        <v>223.81843776301537</v>
      </c>
      <c r="Y461" s="161">
        <f>(Y463/AH463)</f>
        <v>323.94412974874047</v>
      </c>
      <c r="Z461" s="161"/>
      <c r="AA461" s="161"/>
      <c r="AB461" s="161"/>
      <c r="AC461" s="161"/>
      <c r="AD461" s="161"/>
      <c r="AE461" s="161"/>
      <c r="AF461" s="161"/>
      <c r="AG461" s="161"/>
      <c r="AH461" s="152">
        <f>AA457</f>
        <v>-1</v>
      </c>
      <c r="AI461" s="152">
        <f>IF(AJ469&lt;0,-1,1)</f>
        <v>-1</v>
      </c>
      <c r="AJ461" s="174">
        <f>AJ436</f>
        <v>1319.3792127587394</v>
      </c>
      <c r="AK461" s="171"/>
      <c r="AL461" s="151"/>
      <c r="AM461" s="616">
        <f>(BA458*-1-BA457)+AM456</f>
        <v>204.61367208921646</v>
      </c>
      <c r="AN461" s="505">
        <f>(AN458+AN457)/2</f>
        <v>220.47439118390429</v>
      </c>
      <c r="AO461" s="505">
        <f>(AN457+AM459)/2</f>
        <v>215.46187640923591</v>
      </c>
      <c r="AP461" s="505">
        <f>AP457</f>
        <v>8205190087.6939678</v>
      </c>
      <c r="AQ461" s="505">
        <f>(AN458+AM456)/2</f>
        <v>223.82218987956421</v>
      </c>
      <c r="AR461" s="512">
        <f>(AR463/BA463)</f>
        <v>334.51154979470465</v>
      </c>
      <c r="AS461" s="512"/>
      <c r="AT461" s="512"/>
      <c r="AU461" s="512"/>
      <c r="AV461" s="512"/>
      <c r="AW461" s="512"/>
      <c r="AX461" s="512"/>
      <c r="AY461" s="512"/>
      <c r="AZ461" s="512"/>
      <c r="BA461" s="503">
        <f>AT457</f>
        <v>-1</v>
      </c>
      <c r="BB461" s="503">
        <f>IF(BC469&lt;0,-1,1)</f>
        <v>-1</v>
      </c>
      <c r="BC461" s="524">
        <f>BC436</f>
        <v>1053.1057846634974</v>
      </c>
      <c r="BD461" s="502"/>
      <c r="BE461" s="502"/>
      <c r="BF461" s="616">
        <f>(BT458*-1-BT457)+BF456</f>
        <v>204.78323278733387</v>
      </c>
      <c r="BG461" s="505">
        <f>(BG458+BG457)/2</f>
        <v>220.55940674098073</v>
      </c>
      <c r="BH461" s="505">
        <f>(BG457+BF459)/2</f>
        <v>215.54197555467707</v>
      </c>
      <c r="BI461" s="505">
        <f>BI457</f>
        <v>14468934973.106262</v>
      </c>
      <c r="BJ461" s="505">
        <f>(BG458+BF456)/2</f>
        <v>223.96053993334056</v>
      </c>
      <c r="BK461" s="512">
        <f>(BK463/BT463)</f>
        <v>621.88880229337008</v>
      </c>
      <c r="BL461" s="512"/>
      <c r="BM461" s="512"/>
      <c r="BN461" s="512"/>
      <c r="BO461" s="512"/>
      <c r="BP461" s="512"/>
      <c r="BQ461" s="512"/>
      <c r="BR461" s="512"/>
      <c r="BS461" s="512"/>
      <c r="BT461" s="503">
        <f>BM457</f>
        <v>-1</v>
      </c>
      <c r="BU461" s="503">
        <f>IF(BV469&lt;0,-1,1)</f>
        <v>-1</v>
      </c>
      <c r="BV461" s="524">
        <f>BV436</f>
        <v>1053.1057846634974</v>
      </c>
      <c r="BW461" s="502"/>
      <c r="BX461" s="502"/>
      <c r="BY461" s="797"/>
      <c r="BZ461" s="797"/>
      <c r="CA461" s="797"/>
      <c r="CB461" s="797"/>
      <c r="CC461" s="797"/>
      <c r="CD461" s="797"/>
      <c r="CE461" s="797"/>
      <c r="CF461" s="797"/>
      <c r="CG461" s="797"/>
      <c r="CH461" s="797"/>
      <c r="CI461" s="797"/>
      <c r="CJ461" s="797"/>
      <c r="CK461" s="797"/>
      <c r="CL461" s="797"/>
      <c r="CM461" s="797"/>
      <c r="CN461" s="797"/>
      <c r="CO461" s="797"/>
      <c r="CP461" s="797"/>
      <c r="CQ461" s="797"/>
      <c r="CR461" s="797"/>
      <c r="CS461" s="797"/>
      <c r="CT461" s="797"/>
      <c r="CU461" s="797"/>
    </row>
    <row r="462" spans="1:99" x14ac:dyDescent="0.25">
      <c r="A462" s="163">
        <f>(A461-A460)+A456-A458</f>
        <v>-48.402623374547545</v>
      </c>
      <c r="B462" s="163">
        <f>(A462*-1)+A463</f>
        <v>20.054003274221969</v>
      </c>
      <c r="C462" s="163">
        <f>(B462/2)+A457</f>
        <v>13.491771259125741</v>
      </c>
      <c r="D462" s="163">
        <f>(C470+C463+B469+B462+A457)*-1</f>
        <v>7.7485857932739677</v>
      </c>
      <c r="E462" s="163">
        <f>(C462*A457)*D462</f>
        <v>362.2144555080904</v>
      </c>
      <c r="F462" s="152">
        <f>(E462*A457)</f>
        <v>1254.9896420990472</v>
      </c>
      <c r="G462" s="152">
        <f>(F462+E462)</f>
        <v>1617.2040976071376</v>
      </c>
      <c r="H462" s="161"/>
      <c r="I462" s="161"/>
      <c r="J462" s="161"/>
      <c r="K462" s="161"/>
      <c r="L462" s="161"/>
      <c r="M462" s="161"/>
      <c r="N462" s="161"/>
      <c r="O462" s="161">
        <v>785.5</v>
      </c>
      <c r="P462" s="152">
        <f>IF(N460&gt;-1,1,-1)</f>
        <v>-1</v>
      </c>
      <c r="Q462" s="149">
        <f>Q414</f>
        <v>0.32600000000000001</v>
      </c>
      <c r="R462" s="171"/>
      <c r="S462" s="151"/>
      <c r="T462" s="163">
        <f>(T461-T460)+T456-T458</f>
        <v>-48.445913454697774</v>
      </c>
      <c r="U462" s="163">
        <f>(T462*-1)+T463</f>
        <v>20.049674266206949</v>
      </c>
      <c r="V462" s="163">
        <f>(U462/2)+T457</f>
        <v>13.381381554742674</v>
      </c>
      <c r="W462" s="163">
        <f>(V470+V463+U469+U462+T457)*-1</f>
        <v>7.6931744906816846</v>
      </c>
      <c r="X462" s="163">
        <f>(V462*T457)*W462</f>
        <v>345.54048328062584</v>
      </c>
      <c r="Y462" s="152">
        <f>(X462*T457)</f>
        <v>1159.8219816060978</v>
      </c>
      <c r="Z462" s="152">
        <f>(Y462+X462)</f>
        <v>1505.3624648867235</v>
      </c>
      <c r="AA462" s="161"/>
      <c r="AB462" s="161"/>
      <c r="AC462" s="161"/>
      <c r="AD462" s="161"/>
      <c r="AE462" s="161"/>
      <c r="AF462" s="161"/>
      <c r="AG462" s="161"/>
      <c r="AH462" s="161">
        <v>785.5</v>
      </c>
      <c r="AI462" s="152">
        <f>IF(AG460&gt;-1,1,-1)</f>
        <v>-1</v>
      </c>
      <c r="AJ462" s="149">
        <f>AJ414</f>
        <v>0.1797</v>
      </c>
      <c r="AK462" s="171"/>
      <c r="AL462" s="151"/>
      <c r="AM462" s="514">
        <f>(AM461-AM460)+AM456-AM458</f>
        <v>-48.442065130032233</v>
      </c>
      <c r="AN462" s="514">
        <f>(AM462*-1)+AM463</f>
        <v>20.050059098673472</v>
      </c>
      <c r="AO462" s="514">
        <f>(AN462/2)+AM457</f>
        <v>13.39119478263963</v>
      </c>
      <c r="AP462" s="514">
        <f>(AO470+AO463+AN469+AN462+AM457)*-1</f>
        <v>7.69810034625349</v>
      </c>
      <c r="AQ462" s="514">
        <f>(AO462*AM457)*AP462</f>
        <v>347.00707154162762</v>
      </c>
      <c r="AR462" s="503">
        <f>(AQ462*AM457)</f>
        <v>1168.0831399336769</v>
      </c>
      <c r="AS462" s="503">
        <f>(AR462+AQ462)</f>
        <v>1515.0902114753044</v>
      </c>
      <c r="AT462" s="512"/>
      <c r="AU462" s="512"/>
      <c r="AV462" s="512"/>
      <c r="AW462" s="512"/>
      <c r="AX462" s="512"/>
      <c r="AY462" s="512"/>
      <c r="AZ462" s="512"/>
      <c r="BA462" s="512">
        <v>785.5</v>
      </c>
      <c r="BB462" s="503">
        <f>IF(AZ460&gt;-1,1,-1)</f>
        <v>-1</v>
      </c>
      <c r="BC462" s="500">
        <f>BC414</f>
        <v>0.32600000000000001</v>
      </c>
      <c r="BD462" s="502"/>
      <c r="BE462" s="502"/>
      <c r="BF462" s="514">
        <f>(BF461-BF460)+BF456-BF458</f>
        <v>-48.389476664620645</v>
      </c>
      <c r="BG462" s="514">
        <f>(BF462*-1)+BF463</f>
        <v>20.069724745214643</v>
      </c>
      <c r="BH462" s="514">
        <f>(BG462/2)+BF457</f>
        <v>13.604532769439245</v>
      </c>
      <c r="BI462" s="514">
        <f>(BH470+BH463+BG469+BG462+BF457)*-1</f>
        <v>7.8057526219803535</v>
      </c>
      <c r="BJ462" s="514">
        <f>(BH462*BF457)*BI462</f>
        <v>379.07621213634553</v>
      </c>
      <c r="BK462" s="503">
        <f>(BJ462*BF457)</f>
        <v>1353.1771326062913</v>
      </c>
      <c r="BL462" s="503">
        <f>(BK462+BJ462)</f>
        <v>1732.2533447426367</v>
      </c>
      <c r="BM462" s="512"/>
      <c r="BN462" s="512"/>
      <c r="BO462" s="512"/>
      <c r="BP462" s="512"/>
      <c r="BQ462" s="512"/>
      <c r="BR462" s="512"/>
      <c r="BS462" s="512"/>
      <c r="BT462" s="512">
        <v>785.5</v>
      </c>
      <c r="BU462" s="503">
        <f>IF(BS460&gt;-1,1,-1)</f>
        <v>-1</v>
      </c>
      <c r="BV462" s="500">
        <f>BV414</f>
        <v>0.1797</v>
      </c>
      <c r="BW462" s="502"/>
      <c r="BX462" s="502"/>
      <c r="BY462" s="797"/>
      <c r="BZ462" s="797"/>
      <c r="CA462" s="797"/>
      <c r="CB462" s="797"/>
      <c r="CC462" s="797"/>
      <c r="CD462" s="797"/>
      <c r="CE462" s="797"/>
      <c r="CF462" s="797"/>
      <c r="CG462" s="797"/>
      <c r="CH462" s="797"/>
      <c r="CI462" s="797"/>
      <c r="CJ462" s="797"/>
      <c r="CK462" s="797"/>
      <c r="CL462" s="797"/>
      <c r="CM462" s="797"/>
      <c r="CN462" s="797"/>
      <c r="CO462" s="797"/>
      <c r="CP462" s="797"/>
      <c r="CQ462" s="797"/>
      <c r="CR462" s="797"/>
      <c r="CS462" s="797"/>
      <c r="CT462" s="797"/>
      <c r="CU462" s="797"/>
    </row>
    <row r="463" spans="1:99" x14ac:dyDescent="0.25">
      <c r="A463" s="163">
        <f>(A461-A460)+A456-A459</f>
        <v>-28.348620100325576</v>
      </c>
      <c r="B463" s="163">
        <f>A464+(A463*-1)+A462</f>
        <v>-96.80524674909509</v>
      </c>
      <c r="C463" s="154">
        <f>(B463/10)</f>
        <v>-9.6805246749095097</v>
      </c>
      <c r="D463" s="154"/>
      <c r="E463" s="154"/>
      <c r="F463" s="161">
        <f>(Q469*-1)</f>
        <v>874.06562104392265</v>
      </c>
      <c r="G463" s="161"/>
      <c r="H463" s="161"/>
      <c r="I463" s="161"/>
      <c r="J463" s="161"/>
      <c r="K463" s="161"/>
      <c r="L463" s="161"/>
      <c r="M463" s="161"/>
      <c r="N463" s="161"/>
      <c r="O463" s="161">
        <f>(H471/1000)*8.9</f>
        <v>1.897035</v>
      </c>
      <c r="P463" s="152">
        <f>(P465+O467)/2</f>
        <v>1275.7285871275878</v>
      </c>
      <c r="Q463" s="149">
        <f>H471/(Q470*1000)</f>
        <v>0.11236162361623617</v>
      </c>
      <c r="R463" s="171"/>
      <c r="S463" s="151"/>
      <c r="T463" s="163">
        <f>(T461-T460)+T456-T459</f>
        <v>-28.396239188490824</v>
      </c>
      <c r="U463" s="163">
        <f>T464+(T463*-1)+T462</f>
        <v>-96.891826909395547</v>
      </c>
      <c r="V463" s="154">
        <f>(U463/10)</f>
        <v>-9.6891826909395551</v>
      </c>
      <c r="W463" s="154"/>
      <c r="X463" s="154"/>
      <c r="Y463" s="161">
        <f>(AJ469*-1)</f>
        <v>338.7645736847453</v>
      </c>
      <c r="Z463" s="161"/>
      <c r="AA463" s="161"/>
      <c r="AB463" s="161"/>
      <c r="AC463" s="161"/>
      <c r="AD463" s="161"/>
      <c r="AE463" s="161"/>
      <c r="AF463" s="161"/>
      <c r="AG463" s="161"/>
      <c r="AH463" s="161">
        <f>(AA471/1000)*8.9</f>
        <v>1.04575</v>
      </c>
      <c r="AI463" s="152">
        <f>(AI465+AH467)/2</f>
        <v>1276.0384372197864</v>
      </c>
      <c r="AJ463" s="149">
        <f>AA471/(AJ470*1000)</f>
        <v>0.11233269598470363</v>
      </c>
      <c r="AK463" s="171"/>
      <c r="AL463" s="151"/>
      <c r="AM463" s="514">
        <f>(AM461-AM460)+AM456-AM459</f>
        <v>-28.392006031358761</v>
      </c>
      <c r="AN463" s="514">
        <f>AM464+(AM463*-1)+AM462</f>
        <v>-96.884130260064467</v>
      </c>
      <c r="AO463" s="505">
        <f>(AN463/10)</f>
        <v>-9.6884130260064474</v>
      </c>
      <c r="AP463" s="505"/>
      <c r="AQ463" s="505"/>
      <c r="AR463" s="512">
        <f>(BC469*-1)</f>
        <v>503.97242482830376</v>
      </c>
      <c r="AS463" s="512"/>
      <c r="AT463" s="512"/>
      <c r="AU463" s="512"/>
      <c r="AV463" s="512"/>
      <c r="AW463" s="512"/>
      <c r="AX463" s="512"/>
      <c r="AY463" s="512"/>
      <c r="AZ463" s="512"/>
      <c r="BA463" s="512">
        <f>(AT471/1000)*8.9</f>
        <v>1.5065920000000002</v>
      </c>
      <c r="BB463" s="503">
        <f>(BB465+BA467)/2</f>
        <v>1013.3939956220474</v>
      </c>
      <c r="BC463" s="500">
        <f>AT471/(BC470*1000)</f>
        <v>0.1123291307232913</v>
      </c>
      <c r="BD463" s="502"/>
      <c r="BE463" s="502"/>
      <c r="BF463" s="514">
        <f>(BF461-BF460)+BF456-BF459</f>
        <v>-28.319751919406002</v>
      </c>
      <c r="BG463" s="514">
        <f>BF464+(BF463*-1)+BF462</f>
        <v>-96.77895332924129</v>
      </c>
      <c r="BH463" s="505">
        <f>(BG463/10)</f>
        <v>-9.6778953329241286</v>
      </c>
      <c r="BI463" s="505"/>
      <c r="BJ463" s="505"/>
      <c r="BK463" s="512">
        <f>(BV469*-1)</f>
        <v>516.45315286374989</v>
      </c>
      <c r="BL463" s="512"/>
      <c r="BM463" s="512"/>
      <c r="BN463" s="512"/>
      <c r="BO463" s="512"/>
      <c r="BP463" s="512"/>
      <c r="BQ463" s="512"/>
      <c r="BR463" s="512"/>
      <c r="BS463" s="512"/>
      <c r="BT463" s="512">
        <f>(BM471/1000)*8.9</f>
        <v>0.83045900000000006</v>
      </c>
      <c r="BU463" s="503">
        <f>(BU465+BT467)/2</f>
        <v>1012.9281615128325</v>
      </c>
      <c r="BV463" s="500">
        <f>BM471/(BV470*1000)</f>
        <v>0.11242168674698795</v>
      </c>
      <c r="BW463" s="502"/>
      <c r="BX463" s="502"/>
      <c r="BY463" s="797"/>
      <c r="BZ463" s="797"/>
      <c r="CA463" s="797"/>
      <c r="CB463" s="797"/>
      <c r="CC463" s="797"/>
      <c r="CD463" s="797"/>
      <c r="CE463" s="797"/>
      <c r="CF463" s="797"/>
      <c r="CG463" s="797"/>
      <c r="CH463" s="797"/>
      <c r="CI463" s="797"/>
      <c r="CJ463" s="797"/>
      <c r="CK463" s="797"/>
      <c r="CL463" s="797"/>
      <c r="CM463" s="797"/>
      <c r="CN463" s="797"/>
      <c r="CO463" s="797"/>
      <c r="CP463" s="797"/>
      <c r="CQ463" s="797"/>
      <c r="CR463" s="797"/>
      <c r="CS463" s="797"/>
      <c r="CT463" s="797"/>
      <c r="CU463" s="797"/>
    </row>
    <row r="464" spans="1:99" x14ac:dyDescent="0.25">
      <c r="A464" s="163">
        <f>(A463+A462)</f>
        <v>-76.751243474873121</v>
      </c>
      <c r="B464" s="154"/>
      <c r="C464" s="154">
        <f>((F464+E464*-1)+E468)*10-A457+O464*-1-C460*111</f>
        <v>10.250573711296846</v>
      </c>
      <c r="D464" s="154"/>
      <c r="E464" s="154">
        <f>(E468+O464+F464)</f>
        <v>-6.9991352596884049E-2</v>
      </c>
      <c r="F464" s="161">
        <f>(O464*E468)</f>
        <v>5.8982805376225365</v>
      </c>
      <c r="G464" s="161"/>
      <c r="H464" s="191">
        <f>(P465+H465)/2</f>
        <v>973.45553603254473</v>
      </c>
      <c r="I464" s="161"/>
      <c r="J464" s="161"/>
      <c r="K464" s="161"/>
      <c r="L464" s="161"/>
      <c r="M464" s="161"/>
      <c r="N464" s="161">
        <f>(A460-A456)-(A456-B461)</f>
        <v>15.814868053936834</v>
      </c>
      <c r="O464" s="152">
        <f>(P464+A457+C460*10)</f>
        <v>-1.2501270635657642</v>
      </c>
      <c r="P464" s="161">
        <f>E468</f>
        <v>-4.7181448266536563</v>
      </c>
      <c r="Q464" s="162">
        <f>(Q460*Q459*10)</f>
        <v>77.052559544862916</v>
      </c>
      <c r="R464" s="171"/>
      <c r="S464" s="151"/>
      <c r="T464" s="163">
        <f>(T463+T462)</f>
        <v>-76.842152643188598</v>
      </c>
      <c r="U464" s="154"/>
      <c r="V464" s="154">
        <f>((Y464+X464*-1)+X468)*10-T457+AH464*-1-V460*111</f>
        <v>10.350204445390171</v>
      </c>
      <c r="W464" s="154"/>
      <c r="X464" s="154">
        <f>(X468+AH464+Y464)</f>
        <v>-9.9023363608490733E-2</v>
      </c>
      <c r="Y464" s="161">
        <f>(AH464*X468)</f>
        <v>5.76022797972339</v>
      </c>
      <c r="Z464" s="161"/>
      <c r="AA464" s="191">
        <f>(AI465+AA465)/2</f>
        <v>973.68945813024607</v>
      </c>
      <c r="AB464" s="161"/>
      <c r="AC464" s="161"/>
      <c r="AD464" s="161"/>
      <c r="AE464" s="161"/>
      <c r="AF464" s="161"/>
      <c r="AG464" s="161">
        <f>(T460-T456)-(T456-U461)</f>
        <v>15.86519277211147</v>
      </c>
      <c r="AH464" s="152">
        <f>(AI464+T457+V460*10)</f>
        <v>-1.2496022800547633</v>
      </c>
      <c r="AI464" s="161">
        <f>X468</f>
        <v>-4.6096490632771179</v>
      </c>
      <c r="AJ464" s="162">
        <f>(AJ460*AJ459*10)</f>
        <v>69.946688789060516</v>
      </c>
      <c r="AK464" s="171"/>
      <c r="AL464" s="151"/>
      <c r="AM464" s="514">
        <f>(AM463+AM462)</f>
        <v>-76.834071161390995</v>
      </c>
      <c r="AN464" s="505"/>
      <c r="AO464" s="505">
        <f>((AR464+AQ464*-1)+AQ468)*10-AM457+BA464*-1-AO460*111</f>
        <v>10.341371543851599</v>
      </c>
      <c r="AP464" s="505"/>
      <c r="AQ464" s="505">
        <f>(AQ468+BA464+AR464)</f>
        <v>-9.6443225790996401E-2</v>
      </c>
      <c r="AR464" s="512">
        <f>(BA464*AQ468)</f>
        <v>5.7725007137065587</v>
      </c>
      <c r="AS464" s="512"/>
      <c r="AT464" s="542">
        <f>(BB465+AT465)/2</f>
        <v>773.32706754240348</v>
      </c>
      <c r="AU464" s="512"/>
      <c r="AV464" s="512"/>
      <c r="AW464" s="512"/>
      <c r="AX464" s="512"/>
      <c r="AY464" s="512"/>
      <c r="AZ464" s="512">
        <f>(AM460-AM456)-(AM456-AN461)</f>
        <v>15.860719094687823</v>
      </c>
      <c r="BA464" s="503">
        <f>(BB464+AM457+AO460*10)</f>
        <v>-1.2496500125275669</v>
      </c>
      <c r="BB464" s="512">
        <f>AQ468</f>
        <v>-4.6192939269699878</v>
      </c>
      <c r="BC464" s="513">
        <f>(BC460*BC459*10)</f>
        <v>70.563541777145517</v>
      </c>
      <c r="BD464" s="502"/>
      <c r="BE464" s="502"/>
      <c r="BF464" s="514">
        <f>(BF463+BF462)</f>
        <v>-76.709228584026647</v>
      </c>
      <c r="BG464" s="505"/>
      <c r="BH464" s="505">
        <f>((BK464+BJ464*-1)+BJ468)*10-BF457+BT464*-1-BH460*111</f>
        <v>10.16146887805818</v>
      </c>
      <c r="BI464" s="505"/>
      <c r="BJ464" s="505">
        <f>(BJ468+BT464+BK464)</f>
        <v>-3.8886607947996588E-2</v>
      </c>
      <c r="BK464" s="512">
        <f>(BT464*BJ468)</f>
        <v>6.0364769165405345</v>
      </c>
      <c r="BL464" s="512"/>
      <c r="BM464" s="542">
        <f>(BU465+BM465)/2</f>
        <v>772.97946230782406</v>
      </c>
      <c r="BN464" s="512"/>
      <c r="BO464" s="512"/>
      <c r="BP464" s="512"/>
      <c r="BQ464" s="512"/>
      <c r="BR464" s="512"/>
      <c r="BS464" s="512">
        <f>(BF460-BF456)-(BF456-BG461)</f>
        <v>15.776173953646861</v>
      </c>
      <c r="BT464" s="503">
        <f>(BU464+BF457+BH460*10)</f>
        <v>-1.2513353310806761</v>
      </c>
      <c r="BU464" s="512">
        <f>BJ468</f>
        <v>-4.8240281934078553</v>
      </c>
      <c r="BV464" s="513">
        <f>(BV460*BV459*10)</f>
        <v>83.672290862364619</v>
      </c>
      <c r="BW464" s="502"/>
      <c r="BX464" s="502"/>
      <c r="BY464" s="797"/>
      <c r="BZ464" s="797"/>
      <c r="CA464" s="797"/>
      <c r="CB464" s="797"/>
      <c r="CC464" s="797"/>
      <c r="CD464" s="797"/>
      <c r="CE464" s="797"/>
      <c r="CF464" s="797"/>
      <c r="CG464" s="797"/>
      <c r="CH464" s="797"/>
      <c r="CI464" s="797"/>
      <c r="CJ464" s="797"/>
      <c r="CK464" s="797"/>
      <c r="CL464" s="797"/>
      <c r="CM464" s="797"/>
      <c r="CN464" s="797"/>
      <c r="CO464" s="797"/>
      <c r="CP464" s="797"/>
      <c r="CQ464" s="797"/>
      <c r="CR464" s="797"/>
      <c r="CS464" s="797"/>
      <c r="CT464" s="797"/>
      <c r="CU464" s="797"/>
    </row>
    <row r="465" spans="1:99" x14ac:dyDescent="0.25">
      <c r="A465" s="163">
        <f>(A456+A464)</f>
        <v>147.9755945217924</v>
      </c>
      <c r="B465" s="154">
        <f>(A456+A465)/2</f>
        <v>186.35121625922898</v>
      </c>
      <c r="C465" s="154">
        <f>(E461-A456)-(A456-B465)</f>
        <v>-39.241814142940257</v>
      </c>
      <c r="D465" s="163">
        <f>(B461+C461)/2</f>
        <v>217.98095236710265</v>
      </c>
      <c r="E465" s="163">
        <f>(A460+A466)</f>
        <v>450.31986839883473</v>
      </c>
      <c r="F465" s="191">
        <f>(G462*2)-G469</f>
        <v>3078.6840148992087</v>
      </c>
      <c r="G465" s="191">
        <f>(A457*F465)</f>
        <v>10666.930850605204</v>
      </c>
      <c r="H465" s="191">
        <f>(N467+P465)/2</f>
        <v>649.30224478535501</v>
      </c>
      <c r="I465" s="191"/>
      <c r="J465" s="191"/>
      <c r="K465" s="191"/>
      <c r="L465" s="191"/>
      <c r="M465" s="191"/>
      <c r="N465" s="191">
        <f>(O465+O466)/2</f>
        <v>1317.1024581273111</v>
      </c>
      <c r="O465" s="152">
        <f>(A459+C461)/2*Q470/Q462</f>
        <v>1246.5549335913922</v>
      </c>
      <c r="P465" s="152">
        <f>B458*Q470/Q462</f>
        <v>1297.6088272797344</v>
      </c>
      <c r="Q465" s="149">
        <f>(A461+B458)/2</f>
        <v>213.83364395405084</v>
      </c>
      <c r="R465" s="171"/>
      <c r="S465" s="151"/>
      <c r="T465" s="163">
        <f>(T456+T464)</f>
        <v>147.81542122523658</v>
      </c>
      <c r="U465" s="154">
        <f>(T456+T465)/2</f>
        <v>186.23649754683089</v>
      </c>
      <c r="V465" s="154">
        <f>(X461-T456)-(T456-U465)</f>
        <v>-39.260212427004092</v>
      </c>
      <c r="W465" s="163">
        <f>(U461+V461)/2</f>
        <v>217.96688309105383</v>
      </c>
      <c r="X465" s="163">
        <f>(T460+T466)</f>
        <v>450.15428384226016</v>
      </c>
      <c r="Y465" s="191">
        <f>(Z462*2)-Z469</f>
        <v>2855.2163340575289</v>
      </c>
      <c r="Z465" s="191">
        <f>(T457*Y465)</f>
        <v>9583.6604586539233</v>
      </c>
      <c r="AA465" s="191">
        <f>(AG467+AI465)/2</f>
        <v>649.45821768589326</v>
      </c>
      <c r="AB465" s="191"/>
      <c r="AC465" s="191"/>
      <c r="AD465" s="191"/>
      <c r="AE465" s="191"/>
      <c r="AF465" s="191"/>
      <c r="AG465" s="191">
        <f>(AH465+AH466)/2</f>
        <v>1317.3770298458726</v>
      </c>
      <c r="AH465" s="152">
        <f>(T459+V461)/2*AJ470/AJ462</f>
        <v>1246.8620887467027</v>
      </c>
      <c r="AI465" s="152">
        <f>U458*AJ470/AJ462</f>
        <v>1297.9206985745989</v>
      </c>
      <c r="AJ465" s="149">
        <f>(T461+U458)/2</f>
        <v>213.79360062991191</v>
      </c>
      <c r="AK465" s="171"/>
      <c r="AL465" s="151"/>
      <c r="AM465" s="514">
        <f>(AM456+AM464)</f>
        <v>147.82966002649894</v>
      </c>
      <c r="AN465" s="505">
        <f>(AM456+AM465)/2</f>
        <v>186.24669560719445</v>
      </c>
      <c r="AO465" s="505">
        <f>(AQ461-AM456)-(AM456-AN465)</f>
        <v>-39.258576889021214</v>
      </c>
      <c r="AP465" s="514">
        <f>(AN461+AO461)/2</f>
        <v>217.9681337965701</v>
      </c>
      <c r="AQ465" s="514">
        <f>(AM460+AM466)</f>
        <v>450.16900368410563</v>
      </c>
      <c r="AR465" s="542">
        <f>(AS462*2)-AS469</f>
        <v>2874.6526625778565</v>
      </c>
      <c r="AS465" s="542">
        <f>(AM457*AR465)</f>
        <v>9676.5558505911758</v>
      </c>
      <c r="AT465" s="542">
        <f>(AZ467+BB465)/2</f>
        <v>515.88162773248689</v>
      </c>
      <c r="AU465" s="542"/>
      <c r="AV465" s="542"/>
      <c r="AW465" s="542"/>
      <c r="AX465" s="542"/>
      <c r="AY465" s="542"/>
      <c r="AZ465" s="542">
        <f>(BA465+BA466)/2</f>
        <v>1046.2271485833094</v>
      </c>
      <c r="BA465" s="503">
        <f>(AM459+AO461)/2*BC470/BC462</f>
        <v>990.22264664835029</v>
      </c>
      <c r="BB465" s="503">
        <f>AN458*BC470/BC462</f>
        <v>1030.7725073523202</v>
      </c>
      <c r="BC465" s="500">
        <f>(AM461+AN458)/2</f>
        <v>213.79716033022748</v>
      </c>
      <c r="BD465" s="502"/>
      <c r="BE465" s="502"/>
      <c r="BF465" s="514">
        <f>(BF456+BF464)</f>
        <v>148.14372894852187</v>
      </c>
      <c r="BG465" s="505">
        <f>(BF456+BF465)/2</f>
        <v>186.49834324053518</v>
      </c>
      <c r="BH465" s="505">
        <f>(BJ461-BF456)-(BF456-BG465)</f>
        <v>-39.247031891221297</v>
      </c>
      <c r="BI465" s="514">
        <f>(BG461+BH461)/2</f>
        <v>218.0506911478289</v>
      </c>
      <c r="BJ465" s="514">
        <f>(BF460+BF466)</f>
        <v>450.59833266430502</v>
      </c>
      <c r="BK465" s="542">
        <f>(BL462*2)-BL469</f>
        <v>3308.5572079147714</v>
      </c>
      <c r="BL465" s="542">
        <f>(BF457*BK465)</f>
        <v>11810.458721318246</v>
      </c>
      <c r="BM465" s="542">
        <f>(BS467+BU465)/2</f>
        <v>515.64984538732301</v>
      </c>
      <c r="BN465" s="542"/>
      <c r="BO465" s="542"/>
      <c r="BP465" s="542"/>
      <c r="BQ465" s="542"/>
      <c r="BR465" s="542"/>
      <c r="BS465" s="542">
        <f>(BT465+BT466)/2</f>
        <v>1045.8236539624968</v>
      </c>
      <c r="BT465" s="503">
        <f>(BF459+BH461)/2*BV470/BV462</f>
        <v>989.7536045588422</v>
      </c>
      <c r="BU465" s="503">
        <f>BG458*BV470/BV462</f>
        <v>1030.3090792283251</v>
      </c>
      <c r="BV465" s="500">
        <f>(BF461+BG458)/2</f>
        <v>213.92567756073322</v>
      </c>
      <c r="BW465" s="502"/>
      <c r="BX465" s="502"/>
      <c r="BY465" s="797"/>
      <c r="BZ465" s="797"/>
      <c r="CA465" s="797"/>
      <c r="CB465" s="797"/>
      <c r="CC465" s="797"/>
      <c r="CD465" s="797"/>
      <c r="CE465" s="797"/>
      <c r="CF465" s="797"/>
      <c r="CG465" s="797"/>
      <c r="CH465" s="797"/>
      <c r="CI465" s="797"/>
      <c r="CJ465" s="797"/>
      <c r="CK465" s="797"/>
      <c r="CL465" s="797"/>
      <c r="CM465" s="797"/>
      <c r="CN465" s="797"/>
      <c r="CO465" s="797"/>
      <c r="CP465" s="797"/>
      <c r="CQ465" s="797"/>
      <c r="CR465" s="797"/>
      <c r="CS465" s="797"/>
      <c r="CT465" s="797"/>
      <c r="CU465" s="797"/>
    </row>
    <row r="466" spans="1:99" x14ac:dyDescent="0.25">
      <c r="A466" s="163">
        <f>((A461+A460+A459+A458)/4-A461-A456)*-1</f>
        <v>205.53902712794726</v>
      </c>
      <c r="B466" s="154">
        <f>(B461+C461)/2</f>
        <v>217.98095236710265</v>
      </c>
      <c r="C466" s="154">
        <f>(E468+A457)</f>
        <v>-1.2533752046388997</v>
      </c>
      <c r="D466" s="163">
        <f>(A468+D467+A460+D467)/2</f>
        <v>379.94733551223106</v>
      </c>
      <c r="E466" s="163">
        <f>(A461+D467+A460)/3</f>
        <v>201.48587513584025</v>
      </c>
      <c r="F466" s="191">
        <f>(O466+P465)/2</f>
        <v>1342.6294049714822</v>
      </c>
      <c r="G466" s="149"/>
      <c r="H466" s="191">
        <f>(O466+P465+N465)/3</f>
        <v>1334.1204226900918</v>
      </c>
      <c r="I466" s="191"/>
      <c r="J466" s="191"/>
      <c r="K466" s="191"/>
      <c r="L466" s="191"/>
      <c r="M466" s="191"/>
      <c r="N466" s="191">
        <f>((A466+A460)/2)*Q470/Q462</f>
        <v>1310.2098011542785</v>
      </c>
      <c r="O466" s="152">
        <f>((A467+A458)/2)*Q470/Q462</f>
        <v>1387.64998266323</v>
      </c>
      <c r="P466" s="152">
        <f>B457*Q470/Q462</f>
        <v>1268.4351737435391</v>
      </c>
      <c r="Q466" s="162">
        <f>A457+E468</f>
        <v>-1.2533752046388997</v>
      </c>
      <c r="R466" s="171"/>
      <c r="S466" s="151"/>
      <c r="T466" s="163">
        <f>((T461+T460+T459+T458)/4-T461-T456)*-1</f>
        <v>205.44703570762803</v>
      </c>
      <c r="U466" s="154">
        <f>(U461+V461)/2</f>
        <v>217.96688309105383</v>
      </c>
      <c r="V466" s="154">
        <f>(X468+T457)</f>
        <v>-1.2531046416379183</v>
      </c>
      <c r="W466" s="163">
        <f>(T468+W467+T460+W467)/2</f>
        <v>379.78472714866672</v>
      </c>
      <c r="X466" s="163">
        <f>(T461+W467+T460)/3</f>
        <v>201.41083899691316</v>
      </c>
      <c r="Y466" s="191">
        <f>(AH466+AI465)/2</f>
        <v>1342.9063347598208</v>
      </c>
      <c r="Z466" s="149"/>
      <c r="AA466" s="191">
        <f>(AH466+AI465+AG465)/3</f>
        <v>1334.3965664551713</v>
      </c>
      <c r="AB466" s="191"/>
      <c r="AC466" s="191"/>
      <c r="AD466" s="191"/>
      <c r="AE466" s="191"/>
      <c r="AF466" s="191"/>
      <c r="AG466" s="191">
        <f>((T466+T460)/2)*AJ470/AJ462</f>
        <v>1310.1318333305624</v>
      </c>
      <c r="AH466" s="152">
        <f>((T467+T458)/2)*AJ470/AJ462</f>
        <v>1387.8919709450424</v>
      </c>
      <c r="AI466" s="152">
        <f>U457*AJ470/AJ462</f>
        <v>1268.7443501015155</v>
      </c>
      <c r="AJ466" s="162">
        <f>T457+X468</f>
        <v>-1.2531046416379183</v>
      </c>
      <c r="AK466" s="171"/>
      <c r="AL466" s="151"/>
      <c r="AM466" s="514">
        <f>((AM461+AM460+AM459+AM458)/4-AM461-AM456)*-1</f>
        <v>205.4552133975422</v>
      </c>
      <c r="AN466" s="505">
        <f>(AN461+AO461)/2</f>
        <v>217.9681337965701</v>
      </c>
      <c r="AO466" s="505">
        <f>(AQ468+AM457)</f>
        <v>-1.2531286936670938</v>
      </c>
      <c r="AP466" s="514">
        <f>(AM468+AP467+AM460+AP467)/2</f>
        <v>379.79918241819149</v>
      </c>
      <c r="AQ466" s="514">
        <f>(AM461+AP467+AM460)/3</f>
        <v>201.41750942633334</v>
      </c>
      <c r="AR466" s="542">
        <f>(BA466+BB465)/2</f>
        <v>1066.5020789352943</v>
      </c>
      <c r="AS466" s="500"/>
      <c r="AT466" s="542">
        <f>(BA466+BB465+AZ465)/3</f>
        <v>1059.7437688179659</v>
      </c>
      <c r="AU466" s="542"/>
      <c r="AV466" s="542"/>
      <c r="AW466" s="542"/>
      <c r="AX466" s="542"/>
      <c r="AY466" s="542"/>
      <c r="AZ466" s="542">
        <f>((AM466+AM460)/2)*BC470/BC462</f>
        <v>1040.4979885766061</v>
      </c>
      <c r="BA466" s="503">
        <f>((AM467+AM458)/2)*BC470/BC462</f>
        <v>1102.2316505182685</v>
      </c>
      <c r="BB466" s="503">
        <f>AN457*BC470/BC462</f>
        <v>1007.6011583786232</v>
      </c>
      <c r="BC466" s="513">
        <f>AM457+AQ468</f>
        <v>-1.2531286936670938</v>
      </c>
      <c r="BD466" s="502"/>
      <c r="BE466" s="502"/>
      <c r="BF466" s="514">
        <f>((BF461+BF460+BF459+BF458)/4-BF461-BF456)*-1</f>
        <v>205.67565038654186</v>
      </c>
      <c r="BG466" s="505">
        <f>(BG461+BH461)/2</f>
        <v>218.0506911478289</v>
      </c>
      <c r="BH466" s="505">
        <f>(BJ468+BF457)</f>
        <v>-1.2543577965759312</v>
      </c>
      <c r="BI466" s="514">
        <f>(BF468+BI467+BF460+BI467)/2</f>
        <v>380.19387543306055</v>
      </c>
      <c r="BJ466" s="514">
        <f>(BF461+BI467+BF460)/3</f>
        <v>201.60790952193565</v>
      </c>
      <c r="BK466" s="542">
        <f>(BT466+BU465)/2</f>
        <v>1066.1013912972385</v>
      </c>
      <c r="BL466" s="500"/>
      <c r="BM466" s="542">
        <f>(BT466+BU465+BS465)/3</f>
        <v>1059.3421455189912</v>
      </c>
      <c r="BN466" s="542"/>
      <c r="BO466" s="542"/>
      <c r="BP466" s="542"/>
      <c r="BQ466" s="542"/>
      <c r="BR466" s="542"/>
      <c r="BS466" s="542">
        <f>((BF466+BF460)/2)*BV470/BV462</f>
        <v>1040.6138456076048</v>
      </c>
      <c r="BT466" s="503">
        <f>((BF467+BF458)/2)*BV470/BV462</f>
        <v>1101.8937033661516</v>
      </c>
      <c r="BU466" s="503">
        <f>BG457*BV470/BV462</f>
        <v>1007.1345222743349</v>
      </c>
      <c r="BV466" s="513">
        <f>BF457+BJ468</f>
        <v>-1.2543577965759312</v>
      </c>
      <c r="BW466" s="502"/>
      <c r="BX466" s="502"/>
      <c r="BY466" s="797"/>
      <c r="BZ466" s="797"/>
      <c r="CA466" s="797"/>
      <c r="CB466" s="797"/>
      <c r="CC466" s="797"/>
      <c r="CD466" s="797"/>
      <c r="CE466" s="797"/>
      <c r="CF466" s="797"/>
      <c r="CG466" s="797"/>
      <c r="CH466" s="797"/>
      <c r="CI466" s="797"/>
      <c r="CJ466" s="797"/>
      <c r="CK466" s="797"/>
      <c r="CL466" s="797"/>
      <c r="CM466" s="797"/>
      <c r="CN466" s="797"/>
      <c r="CO466" s="797"/>
      <c r="CP466" s="797"/>
      <c r="CQ466" s="797"/>
      <c r="CR466" s="797"/>
      <c r="CS466" s="797"/>
      <c r="CT466" s="797"/>
      <c r="CU466" s="797"/>
    </row>
    <row r="467" spans="1:99" x14ac:dyDescent="0.25">
      <c r="A467" s="163">
        <f>((A461+A460+A459+A458)/4-A461-A456*-1)</f>
        <v>243.91464886538378</v>
      </c>
      <c r="B467" s="154">
        <f>B458/2</f>
        <v>111.49722659282907</v>
      </c>
      <c r="C467" s="154">
        <f>(B457+C461)/2</f>
        <v>216.72757716246377</v>
      </c>
      <c r="D467" s="163">
        <f>(A466+A465+B467)/3</f>
        <v>155.00394941418958</v>
      </c>
      <c r="E467" s="163">
        <f>(A461+A460+B467)/3</f>
        <v>186.98363419538668</v>
      </c>
      <c r="F467" s="149">
        <f>E464+(C471*-1)-E464-E468</f>
        <v>1.9687185379505028</v>
      </c>
      <c r="G467" s="149"/>
      <c r="H467" s="191">
        <f>(P467+N467)/2</f>
        <v>455.81143849156575</v>
      </c>
      <c r="I467" s="149"/>
      <c r="J467" s="149"/>
      <c r="K467" s="149"/>
      <c r="L467" s="149"/>
      <c r="M467" s="149"/>
      <c r="N467" s="191">
        <f>((N466+N465)/2/Q461)</f>
        <v>0.99566229097548242</v>
      </c>
      <c r="O467" s="152">
        <f>((A459+D465)/2)*Q470/Q462</f>
        <v>1253.8483469754412</v>
      </c>
      <c r="P467" s="152">
        <f>((B467+E466)/2)*Q470/Q462</f>
        <v>910.62721469215603</v>
      </c>
      <c r="Q467" s="162">
        <f>(Q466*Q464/10)</f>
        <v>-9.6575767587493555</v>
      </c>
      <c r="R467" s="171"/>
      <c r="S467" s="151"/>
      <c r="T467" s="163">
        <f>((T461+T460+T459+T458)/4-T461-T456*-1)</f>
        <v>243.86811202922232</v>
      </c>
      <c r="U467" s="154">
        <f>U458/2</f>
        <v>111.48965082880278</v>
      </c>
      <c r="V467" s="154">
        <f>(U457+V461)/2</f>
        <v>216.71377844941588</v>
      </c>
      <c r="W467" s="163">
        <f>(T466+T465+U467)/3</f>
        <v>154.91736925388912</v>
      </c>
      <c r="X467" s="163">
        <f>(T461+T460+U467)/3</f>
        <v>186.93493285521768</v>
      </c>
      <c r="Y467" s="149">
        <f>X464+(V471*-1)-X464-X468</f>
        <v>1.9598535086672886</v>
      </c>
      <c r="Z467" s="149"/>
      <c r="AA467" s="191">
        <f>(AI467+AG467)/2</f>
        <v>455.83163628632173</v>
      </c>
      <c r="AB467" s="149"/>
      <c r="AC467" s="149"/>
      <c r="AD467" s="149"/>
      <c r="AE467" s="149"/>
      <c r="AF467" s="149"/>
      <c r="AG467" s="191">
        <f>((AG466+AG465)/2/AJ461)</f>
        <v>0.99573679718754926</v>
      </c>
      <c r="AH467" s="152">
        <f>((T459+W465)/2)*AJ470/AJ462</f>
        <v>1254.1561758649736</v>
      </c>
      <c r="AI467" s="152">
        <f>((U467+X466)/2)*AJ470/AJ462</f>
        <v>910.66753577545592</v>
      </c>
      <c r="AJ467" s="162">
        <f>(AJ466*AJ464/10)</f>
        <v>-8.7650520388774673</v>
      </c>
      <c r="AK467" s="171"/>
      <c r="AL467" s="151"/>
      <c r="AM467" s="514">
        <f>((AM461+AM460+AM459+AM458)/4-AM461-AM456*-1)</f>
        <v>243.87224897823768</v>
      </c>
      <c r="AN467" s="505">
        <f>AN458/2</f>
        <v>111.49032428561924</v>
      </c>
      <c r="AO467" s="505">
        <f>(AN457+AO461)/2</f>
        <v>216.71500510290301</v>
      </c>
      <c r="AP467" s="514">
        <f>(AM466+AM465+AN467)/3</f>
        <v>154.92506590322014</v>
      </c>
      <c r="AQ467" s="514">
        <f>(AM461+AM460+AN467)/3</f>
        <v>186.93926222046639</v>
      </c>
      <c r="AR467" s="500">
        <f>AQ464+(AO471*-1)-AQ464-AQ468</f>
        <v>1.9606654708215867</v>
      </c>
      <c r="AS467" s="500"/>
      <c r="AT467" s="542">
        <f>(BB467+AZ467)/2</f>
        <v>362.11508678938844</v>
      </c>
      <c r="AU467" s="500"/>
      <c r="AV467" s="500"/>
      <c r="AW467" s="500"/>
      <c r="AX467" s="500"/>
      <c r="AY467" s="500"/>
      <c r="AZ467" s="542">
        <f>((AZ466+AZ465)/2/BC461)</f>
        <v>0.99074811265360874</v>
      </c>
      <c r="BA467" s="503">
        <f>((AM459+AP465)/2)*BC470/BC462</f>
        <v>996.01548389177458</v>
      </c>
      <c r="BB467" s="503">
        <f>((AN467+AQ466)/2)*BC470/BC462</f>
        <v>723.23942546612329</v>
      </c>
      <c r="BC467" s="513">
        <f>(BC466*BC464/10)</f>
        <v>-8.8425198927717759</v>
      </c>
      <c r="BD467" s="502"/>
      <c r="BE467" s="502"/>
      <c r="BF467" s="514">
        <f>((BF461+BF460+BF459+BF458)/4-BF461-BF456*-1)</f>
        <v>244.03026467855517</v>
      </c>
      <c r="BG467" s="505">
        <f>BG458/2</f>
        <v>111.53406116706628</v>
      </c>
      <c r="BH467" s="505">
        <f>(BG457+BH461)/2</f>
        <v>216.796333351253</v>
      </c>
      <c r="BI467" s="514">
        <f>(BF466+BF465+BG467)/3</f>
        <v>155.11781350071001</v>
      </c>
      <c r="BJ467" s="514">
        <f>(BF461+BF460+BG467)/3</f>
        <v>187.0799920773878</v>
      </c>
      <c r="BK467" s="500">
        <f>BJ464+(BH471*-1)-BJ464-BJ468</f>
        <v>1.9854970714660354</v>
      </c>
      <c r="BL467" s="500"/>
      <c r="BM467" s="542">
        <f>(BU467+BS467)/2</f>
        <v>362.08105378633735</v>
      </c>
      <c r="BN467" s="500"/>
      <c r="BO467" s="500"/>
      <c r="BP467" s="500"/>
      <c r="BQ467" s="500"/>
      <c r="BR467" s="500"/>
      <c r="BS467" s="542">
        <f>((BS466+BS465)/2/BV461)</f>
        <v>0.99061154632095605</v>
      </c>
      <c r="BT467" s="503">
        <f>((BF459+BI465)/2)*BV470/BV462</f>
        <v>995.54724379733989</v>
      </c>
      <c r="BU467" s="503">
        <f>((BG467+BJ466)/2)*BV470/BV462</f>
        <v>723.17149602635379</v>
      </c>
      <c r="BV467" s="513">
        <f>(BV466*BV464/10)</f>
        <v>-10.495499040057611</v>
      </c>
      <c r="BW467" s="502"/>
      <c r="BX467" s="502"/>
      <c r="BY467" s="797"/>
      <c r="BZ467" s="797"/>
      <c r="CA467" s="797"/>
      <c r="CB467" s="797"/>
      <c r="CC467" s="797"/>
      <c r="CD467" s="797"/>
      <c r="CE467" s="797"/>
      <c r="CF467" s="797"/>
      <c r="CG467" s="797"/>
      <c r="CH467" s="797"/>
      <c r="CI467" s="797"/>
      <c r="CJ467" s="797"/>
      <c r="CK467" s="797"/>
      <c r="CL467" s="797"/>
      <c r="CM467" s="797"/>
      <c r="CN467" s="797"/>
      <c r="CO467" s="797"/>
      <c r="CP467" s="797"/>
      <c r="CQ467" s="797"/>
      <c r="CR467" s="797"/>
      <c r="CS467" s="797"/>
      <c r="CT467" s="797"/>
      <c r="CU467" s="797"/>
    </row>
    <row r="468" spans="1:99" x14ac:dyDescent="0.25">
      <c r="A468" s="163">
        <f>(A461+A466)/2</f>
        <v>205.10593092519542</v>
      </c>
      <c r="B468" s="154">
        <f>(A458+B460)/2</f>
        <v>230.51470441349136</v>
      </c>
      <c r="C468" s="154">
        <f>(A457*C460)</f>
        <v>1.1254060518218489E-3</v>
      </c>
      <c r="D468" s="154">
        <f>(A458+B468)/2</f>
        <v>231.76807961813023</v>
      </c>
      <c r="E468" s="154">
        <f>(D468-A456)-(A456-A459)</f>
        <v>-4.7181448266536563</v>
      </c>
      <c r="F468" s="191">
        <f>(N468+H468)/2</f>
        <v>1361.6265725956705</v>
      </c>
      <c r="G468" s="149"/>
      <c r="H468" s="314">
        <f>A467*Q470/Q462</f>
        <v>1419.3438309743344</v>
      </c>
      <c r="I468" s="149"/>
      <c r="J468" s="149"/>
      <c r="K468" s="149"/>
      <c r="L468" s="149"/>
      <c r="M468" s="149"/>
      <c r="N468" s="191">
        <f>(N466+P465)/2</f>
        <v>1303.9093142170063</v>
      </c>
      <c r="O468" s="152">
        <f>((E465+A465)/2)*Q470/Q462</f>
        <v>1740.7461551540332</v>
      </c>
      <c r="P468" s="152">
        <f>((E466+E468/10)/2)*Q470/Q462</f>
        <v>584.85225929305636</v>
      </c>
      <c r="Q468" s="163">
        <f>(Q467+C471)</f>
        <v>-6.908150470046202</v>
      </c>
      <c r="R468" s="171"/>
      <c r="S468" s="151"/>
      <c r="T468" s="163">
        <f>(T461+T466)/2</f>
        <v>205.02746765492313</v>
      </c>
      <c r="U468" s="154">
        <f>(T458+U460)/2</f>
        <v>230.49792950743318</v>
      </c>
      <c r="V468" s="154">
        <f>(T457*V460)</f>
        <v>1.1755832234502655E-3</v>
      </c>
      <c r="W468" s="154">
        <f>(T458+U468)/2</f>
        <v>231.75103414907113</v>
      </c>
      <c r="X468" s="154">
        <f>(W468-T456)-(T456-T459)</f>
        <v>-4.6096490632771179</v>
      </c>
      <c r="Y468" s="191">
        <f>(AG468+AA468)/2</f>
        <v>1361.7684061609496</v>
      </c>
      <c r="Z468" s="149"/>
      <c r="AA468" s="314">
        <f>T467*AJ470/AJ462</f>
        <v>1419.5105463693185</v>
      </c>
      <c r="AB468" s="149"/>
      <c r="AC468" s="149"/>
      <c r="AD468" s="149"/>
      <c r="AE468" s="149"/>
      <c r="AF468" s="149"/>
      <c r="AG468" s="191">
        <f>(AG466+AI465)/2</f>
        <v>1304.0262659525806</v>
      </c>
      <c r="AH468" s="152">
        <f>((X465+T465)/2)*AJ470/AJ462</f>
        <v>1740.3347565403494</v>
      </c>
      <c r="AI468" s="152">
        <f>((X466+X468/10)/2)*AJ470/AJ462</f>
        <v>584.8457659954156</v>
      </c>
      <c r="AJ468" s="163">
        <f>(AJ467+V471)</f>
        <v>-6.115256484267638</v>
      </c>
      <c r="AK468" s="171"/>
      <c r="AL468" s="151"/>
      <c r="AM468" s="514">
        <f>(AM461+AM466)/2</f>
        <v>205.03444274337932</v>
      </c>
      <c r="AN468" s="505">
        <f>(AM458+AN460)/2</f>
        <v>230.49942073324104</v>
      </c>
      <c r="AO468" s="505">
        <f>(AM457*AO460)</f>
        <v>1.1709815509621504E-3</v>
      </c>
      <c r="AP468" s="505">
        <f>(AM458+AN468)/2</f>
        <v>231.75254942690813</v>
      </c>
      <c r="AQ468" s="505">
        <f>(AP468-AM456)-(AM456-AM459)</f>
        <v>-4.6192939269699878</v>
      </c>
      <c r="AR468" s="542">
        <f>(AZ468+AT468)/2</f>
        <v>1081.4916718506429</v>
      </c>
      <c r="AS468" s="500"/>
      <c r="AT468" s="650">
        <f>AM467*BC470/BC462</f>
        <v>1127.3480957368224</v>
      </c>
      <c r="AU468" s="500"/>
      <c r="AV468" s="500"/>
      <c r="AW468" s="500"/>
      <c r="AX468" s="500"/>
      <c r="AY468" s="500"/>
      <c r="AZ468" s="542">
        <f>(AZ466+BB465)/2</f>
        <v>1035.6352479644631</v>
      </c>
      <c r="BA468" s="503">
        <f>((AQ465+AM465)/2)*BC470/BC462</f>
        <v>1382.1840279323328</v>
      </c>
      <c r="BB468" s="503">
        <f>((AQ466+AQ468/10)/2)*BC470/BC462</f>
        <v>464.47861826792933</v>
      </c>
      <c r="BC468" s="514">
        <f>(BC467+AO471)</f>
        <v>-6.1838914366233748</v>
      </c>
      <c r="BD468" s="502"/>
      <c r="BE468" s="502"/>
      <c r="BF468" s="514">
        <f>(BF461+BF466)/2</f>
        <v>205.22944158693787</v>
      </c>
      <c r="BG468" s="505">
        <f>(BF458+BG460)/2</f>
        <v>230.59426911358804</v>
      </c>
      <c r="BH468" s="505">
        <f>(BF457*BH460)</f>
        <v>1.0789205603858123E-3</v>
      </c>
      <c r="BI468" s="505">
        <f>(BF458+BG468)/2</f>
        <v>231.84862691016394</v>
      </c>
      <c r="BJ468" s="505">
        <f>(BI468-BF456)-(BF456-BF459)</f>
        <v>-4.8240281934078553</v>
      </c>
      <c r="BK468" s="542">
        <f>(BS468+BM468)/2</f>
        <v>1081.2953380069812</v>
      </c>
      <c r="BL468" s="500"/>
      <c r="BM468" s="650">
        <f>BF467*BV470/BV462</f>
        <v>1127.1292135959977</v>
      </c>
      <c r="BN468" s="500"/>
      <c r="BO468" s="500"/>
      <c r="BP468" s="500"/>
      <c r="BQ468" s="500"/>
      <c r="BR468" s="500"/>
      <c r="BS468" s="542">
        <f>(BS466+BU465)/2</f>
        <v>1035.4614624179649</v>
      </c>
      <c r="BT468" s="503">
        <f>((BJ465+BF465)/2)*BV470/BV462</f>
        <v>1382.7376492449814</v>
      </c>
      <c r="BU468" s="503">
        <f>((BJ466+BJ468/10)/2)*BV470/BV462</f>
        <v>464.48016294700534</v>
      </c>
      <c r="BV468" s="514">
        <f>(BV467+BH471)</f>
        <v>-7.6569679181157912</v>
      </c>
      <c r="BW468" s="502"/>
      <c r="BX468" s="502"/>
      <c r="BY468" s="797"/>
      <c r="BZ468" s="797"/>
      <c r="CA468" s="797"/>
      <c r="CB468" s="797"/>
      <c r="CC468" s="797"/>
      <c r="CD468" s="797"/>
      <c r="CE468" s="797"/>
      <c r="CF468" s="797"/>
      <c r="CG468" s="797"/>
      <c r="CH468" s="797"/>
      <c r="CI468" s="797"/>
      <c r="CJ468" s="797"/>
      <c r="CK468" s="797"/>
      <c r="CL468" s="797"/>
      <c r="CM468" s="797"/>
      <c r="CN468" s="797"/>
      <c r="CO468" s="797"/>
      <c r="CP468" s="797"/>
      <c r="CQ468" s="797"/>
      <c r="CR468" s="797"/>
      <c r="CS468" s="797"/>
      <c r="CT468" s="797"/>
      <c r="CU468" s="797"/>
    </row>
    <row r="469" spans="1:99" x14ac:dyDescent="0.25">
      <c r="A469" s="163">
        <f>(A457*-1)+A464</f>
        <v>-80.216013096887878</v>
      </c>
      <c r="B469" s="163">
        <f>(A470*-1)+A469</f>
        <v>-6.9295392440295132</v>
      </c>
      <c r="C469" s="163">
        <f>(B469/2)+A457</f>
        <v>0</v>
      </c>
      <c r="D469" s="154"/>
      <c r="E469" s="163">
        <f>(C469*A457)+D462</f>
        <v>7.7485857932739677</v>
      </c>
      <c r="F469" s="191">
        <f>A465*Q470/Q470</f>
        <v>147.9755945217924</v>
      </c>
      <c r="G469" s="191">
        <f>(E469+F469)</f>
        <v>155.72418031506638</v>
      </c>
      <c r="H469" s="149">
        <f>(O470+H467)/2</f>
        <v>1538.1155204000613</v>
      </c>
      <c r="I469" s="149"/>
      <c r="J469" s="149"/>
      <c r="K469" s="149"/>
      <c r="L469" s="149"/>
      <c r="M469" s="149"/>
      <c r="N469" s="191">
        <f>(O466+H466+O466)/3</f>
        <v>1369.8067960055171</v>
      </c>
      <c r="O469" s="152">
        <f>((B460+E468)/2)*Q470/Q462</f>
        <v>649.6637546163056</v>
      </c>
      <c r="P469" s="152">
        <f>D465*Q470/Q462</f>
        <v>1268.4351737435391</v>
      </c>
      <c r="Q469" s="248">
        <f>((Q468*Q467*C471*-1)*Q470*Q459*Q460)*0.326</f>
        <v>-874.06562104392265</v>
      </c>
      <c r="R469" s="171"/>
      <c r="S469" s="151"/>
      <c r="T469" s="163">
        <f>(T457*-1)+T464</f>
        <v>-80.198697064827797</v>
      </c>
      <c r="U469" s="163">
        <f>(T470*-1)+T469</f>
        <v>-6.7130888432783991</v>
      </c>
      <c r="V469" s="163">
        <f>(U469/2)+T457</f>
        <v>0</v>
      </c>
      <c r="W469" s="154"/>
      <c r="X469" s="163">
        <f>(V469*T457)+W462</f>
        <v>7.6931744906816846</v>
      </c>
      <c r="Y469" s="191">
        <f>T465*AJ470/AJ470</f>
        <v>147.81542122523658</v>
      </c>
      <c r="Z469" s="191">
        <f>(X469+Y469)</f>
        <v>155.50859571591826</v>
      </c>
      <c r="AA469" s="149">
        <f>(AH470+AA467)/2</f>
        <v>1538.0476514737231</v>
      </c>
      <c r="AB469" s="149"/>
      <c r="AC469" s="149"/>
      <c r="AD469" s="149"/>
      <c r="AE469" s="149"/>
      <c r="AF469" s="149"/>
      <c r="AG469" s="191">
        <f>(AH466+AA466+AH466)/3</f>
        <v>1370.0601694484187</v>
      </c>
      <c r="AH469" s="152">
        <f>((U460+X468)/2)*AJ470/AJ462</f>
        <v>650.13257215993508</v>
      </c>
      <c r="AI469" s="152">
        <f>W465*AJ470/AJ462</f>
        <v>1268.7443501015155</v>
      </c>
      <c r="AJ469" s="248">
        <f>((AJ468*AJ467*V471*-1)*AJ470*AJ459*AJ460)*0.326</f>
        <v>-338.7645736847453</v>
      </c>
      <c r="AK469" s="171"/>
      <c r="AL469" s="151"/>
      <c r="AM469" s="514">
        <f>(AM457*-1)+AM464</f>
        <v>-80.200236394693889</v>
      </c>
      <c r="AN469" s="514">
        <f>(AM470*-1)+AM469</f>
        <v>-6.7323304666057879</v>
      </c>
      <c r="AO469" s="514">
        <f>(AN469/2)+AM457</f>
        <v>0</v>
      </c>
      <c r="AP469" s="505"/>
      <c r="AQ469" s="514">
        <f>(AO469*AM457)+AP462</f>
        <v>7.69810034625349</v>
      </c>
      <c r="AR469" s="542">
        <f>AM465*BC470/BC470</f>
        <v>147.82966002649894</v>
      </c>
      <c r="AS469" s="542">
        <f>(AQ469+AR469)</f>
        <v>155.52776037275243</v>
      </c>
      <c r="AT469" s="500">
        <f>(BA470+AT467)/2</f>
        <v>1221.5555319713003</v>
      </c>
      <c r="AU469" s="500"/>
      <c r="AV469" s="500"/>
      <c r="AW469" s="500"/>
      <c r="AX469" s="500"/>
      <c r="AY469" s="500"/>
      <c r="AZ469" s="542">
        <f>(BA466+AT466+BA466)/3</f>
        <v>1088.0690232848342</v>
      </c>
      <c r="BA469" s="503">
        <f>((AN460+AQ468)/2)*BC470/BC462</f>
        <v>516.29512456186785</v>
      </c>
      <c r="BB469" s="503">
        <f>AP465*BC470/BC462</f>
        <v>1007.6011583786232</v>
      </c>
      <c r="BC469" s="590">
        <f>((BC468*BC467*AO471*-1)*BC470*BC459*BC460)*0.326</f>
        <v>-503.97242482830376</v>
      </c>
      <c r="BD469" s="502"/>
      <c r="BE469" s="502"/>
      <c r="BF469" s="514">
        <f>(BF457*-1)+BF464</f>
        <v>-80.278898980858571</v>
      </c>
      <c r="BG469" s="514">
        <f>(BF470*-1)+BF469</f>
        <v>-7.1393407936638482</v>
      </c>
      <c r="BH469" s="514">
        <f>(BG469/2)+BF457</f>
        <v>0</v>
      </c>
      <c r="BI469" s="505"/>
      <c r="BJ469" s="514">
        <f>(BH469*BF457)+BI462</f>
        <v>7.8057526219803535</v>
      </c>
      <c r="BK469" s="542">
        <f>BF465*BV470/BV470</f>
        <v>148.14372894852187</v>
      </c>
      <c r="BL469" s="542">
        <f>(BJ469+BK469)</f>
        <v>155.94948157050223</v>
      </c>
      <c r="BM469" s="500">
        <f>(BT470+BM467)/2</f>
        <v>1221.6543725007734</v>
      </c>
      <c r="BN469" s="500"/>
      <c r="BO469" s="500"/>
      <c r="BP469" s="500"/>
      <c r="BQ469" s="500"/>
      <c r="BR469" s="500"/>
      <c r="BS469" s="542">
        <f>(BT466+BM466+BT466)/3</f>
        <v>1087.7098507504315</v>
      </c>
      <c r="BT469" s="503">
        <f>((BG460+BJ468)/2)*BV470/BV462</f>
        <v>515.60118536848506</v>
      </c>
      <c r="BU469" s="503">
        <f>BI465*BV470/BV462</f>
        <v>1007.1345222743349</v>
      </c>
      <c r="BV469" s="590">
        <f>((BV468*BV467*BH471*-1)*BV470*BV459*BV460)*0.326</f>
        <v>-516.45315286374989</v>
      </c>
      <c r="BW469" s="502"/>
      <c r="BX469" s="502"/>
      <c r="BY469" s="797"/>
      <c r="BZ469" s="797"/>
      <c r="CA469" s="797"/>
      <c r="CB469" s="797"/>
      <c r="CC469" s="797"/>
      <c r="CD469" s="797"/>
      <c r="CE469" s="797"/>
      <c r="CF469" s="797"/>
      <c r="CG469" s="797"/>
      <c r="CH469" s="797"/>
      <c r="CI469" s="797"/>
      <c r="CJ469" s="797"/>
      <c r="CK469" s="797"/>
      <c r="CL469" s="797"/>
      <c r="CM469" s="797"/>
      <c r="CN469" s="797"/>
      <c r="CO469" s="797"/>
      <c r="CP469" s="797"/>
      <c r="CQ469" s="797"/>
      <c r="CR469" s="797"/>
      <c r="CS469" s="797"/>
      <c r="CT469" s="797"/>
      <c r="CU469" s="797"/>
    </row>
    <row r="470" spans="1:99" x14ac:dyDescent="0.25">
      <c r="A470" s="163">
        <f>A457+A464</f>
        <v>-73.286473852858364</v>
      </c>
      <c r="B470" s="163">
        <f>(A471+(A469*-1)+A470)</f>
        <v>-146.57294770571673</v>
      </c>
      <c r="C470" s="154">
        <f>(B470/10)</f>
        <v>-14.657294770571673</v>
      </c>
      <c r="D470" s="154"/>
      <c r="E470" s="154">
        <f>((D466+B467)/2)*Q470</f>
        <v>466.13516715664952</v>
      </c>
      <c r="F470" s="149">
        <f>((E465+B467)/2)*Q470/Q462</f>
        <v>1634.612007974212</v>
      </c>
      <c r="G470" s="149"/>
      <c r="H470" s="149">
        <f>(Q471/2)</f>
        <v>213.15340583983726</v>
      </c>
      <c r="I470" s="149"/>
      <c r="J470" s="149"/>
      <c r="K470" s="149"/>
      <c r="L470" s="149"/>
      <c r="M470" s="149"/>
      <c r="N470" s="191">
        <f>(Q471/2)/Q462</f>
        <v>653.84480318968485</v>
      </c>
      <c r="O470" s="152">
        <f>E465*Q470/Q462</f>
        <v>2620.4196023085569</v>
      </c>
      <c r="P470" s="152">
        <f>((B457+A460)/2)*Q470/Q462</f>
        <v>1346.4096971338456</v>
      </c>
      <c r="Q470" s="322">
        <f>ROUND(O463,N471)</f>
        <v>1.897</v>
      </c>
      <c r="R470" s="171"/>
      <c r="S470" s="151"/>
      <c r="T470" s="163">
        <f>T457+T464</f>
        <v>-73.485608221549398</v>
      </c>
      <c r="U470" s="163">
        <f>(T471+(T469*-1)+T470)</f>
        <v>-146.9712164430988</v>
      </c>
      <c r="V470" s="154">
        <f>(U470/10)</f>
        <v>-14.697121644309879</v>
      </c>
      <c r="W470" s="154"/>
      <c r="X470" s="154">
        <f>((W466+U467)/2)*AJ470</f>
        <v>256.93649968221655</v>
      </c>
      <c r="Y470" s="149">
        <f>((X465+U467)/2)*AJ470/AJ462</f>
        <v>1634.612007974212</v>
      </c>
      <c r="Z470" s="149"/>
      <c r="AA470" s="149">
        <f>(AJ471/2)</f>
        <v>117.49591113318637</v>
      </c>
      <c r="AB470" s="149"/>
      <c r="AC470" s="149"/>
      <c r="AD470" s="149"/>
      <c r="AE470" s="149"/>
      <c r="AF470" s="149"/>
      <c r="AG470" s="191">
        <f>(AJ471/2)/AJ462</f>
        <v>653.84480318968485</v>
      </c>
      <c r="AH470" s="152">
        <f>X465*AJ470/AJ462</f>
        <v>2620.2636666611247</v>
      </c>
      <c r="AI470" s="152">
        <f>((U457+T460)/2)*AJ470/AJ462</f>
        <v>1346.5696751866099</v>
      </c>
      <c r="AJ470" s="322">
        <f>ROUND(AH463,AG471)</f>
        <v>1.046</v>
      </c>
      <c r="AK470" s="171"/>
      <c r="AL470" s="151"/>
      <c r="AM470" s="514">
        <f>AM457+AM464</f>
        <v>-73.467905928088101</v>
      </c>
      <c r="AN470" s="514">
        <f>(AM471+(AM469*-1)+AM470)</f>
        <v>-146.9358118561762</v>
      </c>
      <c r="AO470" s="505">
        <f>(AN470/10)</f>
        <v>-14.693581185617621</v>
      </c>
      <c r="AP470" s="505"/>
      <c r="AQ470" s="505">
        <f>((AP466+AN467)/2)*BC470</f>
        <v>370.18664330132134</v>
      </c>
      <c r="AR470" s="500">
        <f>((AQ465+AN467)/2)*BC470/BC462</f>
        <v>1298.191115414686</v>
      </c>
      <c r="AS470" s="500"/>
      <c r="AT470" s="500">
        <f>(BC471/2)</f>
        <v>169.28412145007505</v>
      </c>
      <c r="AU470" s="500"/>
      <c r="AV470" s="500"/>
      <c r="AW470" s="500"/>
      <c r="AX470" s="500"/>
      <c r="AY470" s="500"/>
      <c r="AZ470" s="542">
        <f>(BC471/2)/BC462</f>
        <v>519.2764461658744</v>
      </c>
      <c r="BA470" s="503">
        <f>AQ465*BC470/BC462</f>
        <v>2080.9959771532122</v>
      </c>
      <c r="BB470" s="503">
        <f>((AN457+AM460)/2)*BC470/BC462</f>
        <v>1069.41972330258</v>
      </c>
      <c r="BC470" s="656">
        <f>ROUND(BA463,AZ471)</f>
        <v>1.5069999999999999</v>
      </c>
      <c r="BD470" s="502"/>
      <c r="BE470" s="502"/>
      <c r="BF470" s="514">
        <f>BF457+BF464</f>
        <v>-73.139558187194723</v>
      </c>
      <c r="BG470" s="514">
        <f>(BF471+(BF469*-1)+BF470)</f>
        <v>-146.27911637438945</v>
      </c>
      <c r="BH470" s="505">
        <f>(BG470/10)</f>
        <v>-14.627911637438945</v>
      </c>
      <c r="BI470" s="505"/>
      <c r="BJ470" s="505">
        <f>((BI466+BG467)/2)*BV470</f>
        <v>204.06709368905263</v>
      </c>
      <c r="BK470" s="500">
        <f>((BJ465+BG467)/2)*BV470/BV462</f>
        <v>1298.1911154146858</v>
      </c>
      <c r="BL470" s="500"/>
      <c r="BM470" s="500">
        <f>(BV471/2)</f>
        <v>93.313977376007628</v>
      </c>
      <c r="BN470" s="500"/>
      <c r="BO470" s="500"/>
      <c r="BP470" s="500"/>
      <c r="BQ470" s="500"/>
      <c r="BR470" s="500"/>
      <c r="BS470" s="542">
        <f>(BV471/2)/BV462</f>
        <v>519.2764461658744</v>
      </c>
      <c r="BT470" s="503">
        <f>BJ465*BV470/BV462</f>
        <v>2081.2276912152097</v>
      </c>
      <c r="BU470" s="503">
        <f>((BG457+BF460)/2)*BV470/BV462</f>
        <v>1069.1928212110222</v>
      </c>
      <c r="BV470" s="656">
        <f>ROUND(BT463,BS471)</f>
        <v>0.83</v>
      </c>
      <c r="BW470" s="502"/>
      <c r="BX470" s="502"/>
      <c r="BY470" s="797"/>
      <c r="BZ470" s="797"/>
      <c r="CA470" s="797"/>
      <c r="CB470" s="797"/>
      <c r="CC470" s="797"/>
      <c r="CD470" s="797"/>
      <c r="CE470" s="797"/>
      <c r="CF470" s="797"/>
      <c r="CG470" s="797"/>
      <c r="CH470" s="797"/>
      <c r="CI470" s="797"/>
      <c r="CJ470" s="797"/>
      <c r="CK470" s="797"/>
      <c r="CL470" s="797"/>
      <c r="CM470" s="797"/>
      <c r="CN470" s="797"/>
      <c r="CO470" s="797"/>
      <c r="CP470" s="797"/>
      <c r="CQ470" s="797"/>
      <c r="CR470" s="797"/>
      <c r="CS470" s="797"/>
      <c r="CT470" s="797"/>
      <c r="CU470" s="797"/>
    </row>
    <row r="471" spans="1:99" x14ac:dyDescent="0.25">
      <c r="A471" s="191">
        <f>(A469+A470)</f>
        <v>-153.50248694974624</v>
      </c>
      <c r="B471" s="149"/>
      <c r="C471" s="162">
        <f>INT(C464)-C464+N471</f>
        <v>2.7494262887031535</v>
      </c>
      <c r="D471" s="149"/>
      <c r="E471" s="191" t="s">
        <v>53</v>
      </c>
      <c r="F471" s="149">
        <f>((O471+B467+E465)/3)*Q470/Q462</f>
        <v>4023.5993764291793</v>
      </c>
      <c r="G471" s="149"/>
      <c r="H471" s="149">
        <f>ROUND(H470,2)</f>
        <v>213.15</v>
      </c>
      <c r="I471" s="149"/>
      <c r="J471" s="149"/>
      <c r="K471" s="149"/>
      <c r="L471" s="149"/>
      <c r="M471" s="149"/>
      <c r="N471" s="149">
        <v>3</v>
      </c>
      <c r="O471" s="152">
        <f>((B457+B467+E465)/3)*Q470/Q462</f>
        <v>1512.5530632306543</v>
      </c>
      <c r="P471" s="191">
        <f>(Q471/Q470)</f>
        <v>224.72683799666552</v>
      </c>
      <c r="Q471" s="152">
        <f>P457*Q462</f>
        <v>426.30681167967452</v>
      </c>
      <c r="R471" s="171"/>
      <c r="S471" s="151"/>
      <c r="T471" s="191">
        <f>(T469+T470)</f>
        <v>-153.6843052863772</v>
      </c>
      <c r="U471" s="149"/>
      <c r="V471" s="162">
        <f>INT(V464)-V464+AG471</f>
        <v>2.6497955546098293</v>
      </c>
      <c r="W471" s="149"/>
      <c r="X471" s="191" t="s">
        <v>53</v>
      </c>
      <c r="Y471" s="149">
        <f>((AH471+U467+X465)/3)*AJ470/AJ462</f>
        <v>4024.7038755246599</v>
      </c>
      <c r="Z471" s="149"/>
      <c r="AA471" s="149">
        <f>ROUND(AA470,2)</f>
        <v>117.5</v>
      </c>
      <c r="AB471" s="149"/>
      <c r="AC471" s="149"/>
      <c r="AD471" s="149"/>
      <c r="AE471" s="149"/>
      <c r="AF471" s="149"/>
      <c r="AG471" s="149">
        <v>3</v>
      </c>
      <c r="AH471" s="152">
        <f>((U457+U467+X465)/3)*AJ470/AJ462</f>
        <v>1512.6561220166466</v>
      </c>
      <c r="AI471" s="191">
        <f>(AJ471/AJ470)</f>
        <v>224.65757386842517</v>
      </c>
      <c r="AJ471" s="152">
        <f>AI457*AJ462</f>
        <v>234.99182226637274</v>
      </c>
      <c r="AK471" s="171"/>
      <c r="AL471" s="151"/>
      <c r="AM471" s="542">
        <f>(AM469+AM470)</f>
        <v>-153.66814232278199</v>
      </c>
      <c r="AN471" s="500"/>
      <c r="AO471" s="513">
        <f>INT(AO464)-AO464+AZ471</f>
        <v>2.658628456148401</v>
      </c>
      <c r="AP471" s="500"/>
      <c r="AQ471" s="542" t="s">
        <v>53</v>
      </c>
      <c r="AR471" s="500">
        <f>((BA471+AN467+AQ465)/3)*BC470/BC462</f>
        <v>2716.5864994163512</v>
      </c>
      <c r="AS471" s="500"/>
      <c r="AT471" s="500">
        <f>ROUND(AT470,2)</f>
        <v>169.28</v>
      </c>
      <c r="AU471" s="500"/>
      <c r="AV471" s="500"/>
      <c r="AW471" s="500"/>
      <c r="AX471" s="500"/>
      <c r="AY471" s="500"/>
      <c r="AZ471" s="500">
        <v>3</v>
      </c>
      <c r="BA471" s="503">
        <f>((AN457+AN467+AQ465)/3)*BC470/BC462</f>
        <v>1201.3277964026652</v>
      </c>
      <c r="BB471" s="542">
        <f>(BC471/BC470)</f>
        <v>224.66373118788994</v>
      </c>
      <c r="BC471" s="503">
        <f>BB457*BC462</f>
        <v>338.5682429001501</v>
      </c>
      <c r="BD471" s="502"/>
      <c r="BE471" s="502"/>
      <c r="BF471" s="542">
        <f>(BF469+BF470)</f>
        <v>-153.41845716805329</v>
      </c>
      <c r="BG471" s="500"/>
      <c r="BH471" s="513">
        <f>INT(BH464)-BH464+BS471</f>
        <v>2.8385311219418199</v>
      </c>
      <c r="BI471" s="500"/>
      <c r="BJ471" s="542" t="s">
        <v>53</v>
      </c>
      <c r="BK471" s="500">
        <f>((BT471+BG467+BJ465)/3)*BV470/BV462</f>
        <v>2714.7891953973849</v>
      </c>
      <c r="BL471" s="500"/>
      <c r="BM471" s="500">
        <f>ROUND(BM470,2)</f>
        <v>93.31</v>
      </c>
      <c r="BN471" s="500"/>
      <c r="BO471" s="500"/>
      <c r="BP471" s="500"/>
      <c r="BQ471" s="500"/>
      <c r="BR471" s="500"/>
      <c r="BS471" s="500">
        <v>3</v>
      </c>
      <c r="BT471" s="503">
        <f>((BG457+BG467+BJ465)/3)*BV470/BV462</f>
        <v>1201.1722510345689</v>
      </c>
      <c r="BU471" s="542">
        <f>(BV471/BV470)</f>
        <v>224.85295753254852</v>
      </c>
      <c r="BV471" s="503">
        <f>BU457*BV462</f>
        <v>186.62795475201526</v>
      </c>
      <c r="BW471" s="502"/>
      <c r="BX471" s="502"/>
      <c r="BY471" s="797"/>
      <c r="BZ471" s="797"/>
      <c r="CA471" s="797"/>
      <c r="CB471" s="797"/>
      <c r="CC471" s="797"/>
      <c r="CD471" s="797"/>
      <c r="CE471" s="797"/>
      <c r="CF471" s="797"/>
      <c r="CG471" s="797"/>
      <c r="CH471" s="797"/>
      <c r="CI471" s="797"/>
      <c r="CJ471" s="797"/>
      <c r="CK471" s="797"/>
      <c r="CL471" s="797"/>
      <c r="CM471" s="797"/>
      <c r="CN471" s="797"/>
      <c r="CO471" s="797"/>
      <c r="CP471" s="797"/>
      <c r="CQ471" s="797"/>
      <c r="CR471" s="797"/>
      <c r="CS471" s="797"/>
      <c r="CT471" s="797"/>
      <c r="CU471" s="797"/>
    </row>
    <row r="472" spans="1:99" x14ac:dyDescent="0.25">
      <c r="A472" s="171"/>
      <c r="B472" s="171"/>
      <c r="C472" s="171"/>
      <c r="D472" s="171"/>
      <c r="E472" s="171"/>
      <c r="F472" s="171"/>
      <c r="G472" s="171"/>
      <c r="H472" s="171"/>
      <c r="I472" s="171"/>
      <c r="J472" s="171"/>
      <c r="K472" s="171"/>
      <c r="L472" s="171"/>
      <c r="M472" s="171"/>
      <c r="N472" s="171"/>
      <c r="O472" s="171"/>
      <c r="P472" s="171" t="s">
        <v>54</v>
      </c>
      <c r="Q472" s="171"/>
      <c r="R472" s="171"/>
      <c r="S472" s="151"/>
      <c r="T472" s="171"/>
      <c r="U472" s="171"/>
      <c r="V472" s="171"/>
      <c r="W472" s="171"/>
      <c r="X472" s="171"/>
      <c r="Y472" s="171"/>
      <c r="Z472" s="171"/>
      <c r="AA472" s="171"/>
      <c r="AB472" s="171"/>
      <c r="AC472" s="171"/>
      <c r="AD472" s="171"/>
      <c r="AE472" s="171"/>
      <c r="AF472" s="171"/>
      <c r="AG472" s="171"/>
      <c r="AH472" s="171"/>
      <c r="AI472" s="171" t="s">
        <v>54</v>
      </c>
      <c r="AJ472" s="171"/>
      <c r="AK472" s="171"/>
      <c r="AL472" s="151"/>
      <c r="AM472" s="502"/>
      <c r="AN472" s="502"/>
      <c r="AO472" s="502"/>
      <c r="AP472" s="502"/>
      <c r="AQ472" s="502"/>
      <c r="AR472" s="502"/>
      <c r="AS472" s="502"/>
      <c r="AT472" s="502"/>
      <c r="AU472" s="502"/>
      <c r="AV472" s="502"/>
      <c r="AW472" s="502"/>
      <c r="AX472" s="502"/>
      <c r="AY472" s="502"/>
      <c r="AZ472" s="502"/>
      <c r="BA472" s="502"/>
      <c r="BB472" s="502" t="s">
        <v>54</v>
      </c>
      <c r="BC472" s="502"/>
      <c r="BD472" s="502"/>
      <c r="BE472" s="502"/>
      <c r="BF472" s="502"/>
      <c r="BG472" s="502"/>
      <c r="BH472" s="502"/>
      <c r="BI472" s="502"/>
      <c r="BJ472" s="502"/>
      <c r="BK472" s="502"/>
      <c r="BL472" s="502"/>
      <c r="BM472" s="502"/>
      <c r="BN472" s="502"/>
      <c r="BO472" s="502"/>
      <c r="BP472" s="502"/>
      <c r="BQ472" s="502"/>
      <c r="BR472" s="502"/>
      <c r="BS472" s="502"/>
      <c r="BT472" s="502"/>
      <c r="BU472" s="502" t="s">
        <v>54</v>
      </c>
      <c r="BV472" s="502"/>
      <c r="BW472" s="502"/>
      <c r="BX472" s="502"/>
      <c r="BY472" s="797"/>
      <c r="BZ472" s="797"/>
      <c r="CA472" s="797"/>
      <c r="CB472" s="797"/>
      <c r="CC472" s="797"/>
      <c r="CD472" s="797"/>
      <c r="CE472" s="797"/>
      <c r="CF472" s="797"/>
      <c r="CG472" s="797"/>
      <c r="CH472" s="797"/>
      <c r="CI472" s="797"/>
      <c r="CJ472" s="797"/>
      <c r="CK472" s="797"/>
      <c r="CL472" s="797"/>
      <c r="CM472" s="797"/>
      <c r="CN472" s="797"/>
      <c r="CO472" s="797"/>
      <c r="CP472" s="797"/>
      <c r="CQ472" s="797"/>
      <c r="CR472" s="797"/>
      <c r="CS472" s="797"/>
      <c r="CT472" s="797"/>
      <c r="CU472" s="797"/>
    </row>
    <row r="473" spans="1:99" x14ac:dyDescent="0.25">
      <c r="A473" s="171"/>
      <c r="B473" s="171"/>
      <c r="C473" s="171"/>
      <c r="D473" s="171"/>
      <c r="E473" s="171"/>
      <c r="F473" s="171"/>
      <c r="G473" s="171"/>
      <c r="H473" s="171"/>
      <c r="I473" s="171"/>
      <c r="J473" s="171"/>
      <c r="K473" s="171"/>
      <c r="L473" s="171"/>
      <c r="M473" s="171"/>
      <c r="N473" s="171"/>
      <c r="O473" s="171"/>
      <c r="P473" s="171"/>
      <c r="Q473" s="171"/>
      <c r="R473" s="171"/>
      <c r="S473" s="151"/>
      <c r="T473" s="171"/>
      <c r="U473" s="171"/>
      <c r="V473" s="171"/>
      <c r="W473" s="171"/>
      <c r="X473" s="171"/>
      <c r="Y473" s="171"/>
      <c r="Z473" s="171"/>
      <c r="AA473" s="171"/>
      <c r="AB473" s="171"/>
      <c r="AC473" s="171"/>
      <c r="AD473" s="171"/>
      <c r="AE473" s="171"/>
      <c r="AF473" s="171"/>
      <c r="AG473" s="171"/>
      <c r="AH473" s="171"/>
      <c r="AI473" s="171"/>
      <c r="AJ473" s="171"/>
      <c r="AK473" s="171"/>
      <c r="AL473" s="151"/>
      <c r="AM473" s="502"/>
      <c r="AN473" s="502"/>
      <c r="AO473" s="502"/>
      <c r="AP473" s="502"/>
      <c r="AQ473" s="502"/>
      <c r="AR473" s="502"/>
      <c r="AS473" s="502"/>
      <c r="AT473" s="502"/>
      <c r="AU473" s="502"/>
      <c r="AV473" s="502"/>
      <c r="AW473" s="502"/>
      <c r="AX473" s="502"/>
      <c r="AY473" s="502"/>
      <c r="AZ473" s="502"/>
      <c r="BA473" s="502"/>
      <c r="BB473" s="502"/>
      <c r="BC473" s="502"/>
      <c r="BD473" s="502"/>
      <c r="BE473" s="502"/>
      <c r="BF473" s="502"/>
      <c r="BG473" s="502"/>
      <c r="BH473" s="502"/>
      <c r="BI473" s="502"/>
      <c r="BJ473" s="502"/>
      <c r="BK473" s="502"/>
      <c r="BL473" s="502"/>
      <c r="BM473" s="502"/>
      <c r="BN473" s="502"/>
      <c r="BO473" s="502"/>
      <c r="BP473" s="502"/>
      <c r="BQ473" s="502"/>
      <c r="BR473" s="502"/>
      <c r="BS473" s="502"/>
      <c r="BT473" s="502"/>
      <c r="BU473" s="502"/>
      <c r="BV473" s="502"/>
      <c r="BW473" s="502"/>
      <c r="BX473" s="502"/>
      <c r="BY473" s="797"/>
      <c r="BZ473" s="797"/>
      <c r="CA473" s="797"/>
    </row>
    <row r="474" spans="1:99" x14ac:dyDescent="0.25">
      <c r="A474" s="171"/>
      <c r="B474" s="171"/>
      <c r="C474" s="171"/>
      <c r="D474" s="171"/>
      <c r="E474" s="171"/>
      <c r="F474" s="171"/>
      <c r="G474" s="171"/>
      <c r="H474" s="171"/>
      <c r="I474" s="171"/>
      <c r="J474" s="171"/>
      <c r="K474" s="171"/>
      <c r="L474" s="171"/>
      <c r="M474" s="171"/>
      <c r="N474" s="171"/>
      <c r="O474" s="171"/>
      <c r="P474" s="171"/>
      <c r="Q474" s="171"/>
      <c r="R474" s="171"/>
      <c r="S474" s="151"/>
      <c r="T474" s="171"/>
      <c r="U474" s="171"/>
      <c r="V474" s="171"/>
      <c r="W474" s="171"/>
      <c r="X474" s="171"/>
      <c r="Y474" s="171"/>
      <c r="Z474" s="171"/>
      <c r="AA474" s="171"/>
      <c r="AB474" s="171"/>
      <c r="AC474" s="171"/>
      <c r="AD474" s="171"/>
      <c r="AE474" s="171"/>
      <c r="AF474" s="171"/>
      <c r="AG474" s="171"/>
      <c r="AH474" s="171"/>
      <c r="AI474" s="171"/>
      <c r="AJ474" s="171"/>
      <c r="AK474" s="171"/>
      <c r="AL474" s="151"/>
      <c r="AM474" s="502"/>
      <c r="AN474" s="502"/>
      <c r="AO474" s="502"/>
      <c r="AP474" s="502"/>
      <c r="AQ474" s="502"/>
      <c r="AR474" s="502"/>
      <c r="AS474" s="502"/>
      <c r="AT474" s="502"/>
      <c r="AU474" s="502"/>
      <c r="AV474" s="502"/>
      <c r="AW474" s="502"/>
      <c r="AX474" s="502"/>
      <c r="AY474" s="502"/>
      <c r="AZ474" s="502"/>
      <c r="BA474" s="502"/>
      <c r="BB474" s="502"/>
      <c r="BC474" s="502"/>
      <c r="BD474" s="502"/>
      <c r="BE474" s="502"/>
      <c r="BF474" s="502"/>
      <c r="BG474" s="502"/>
      <c r="BH474" s="502"/>
      <c r="BI474" s="502"/>
      <c r="BJ474" s="502"/>
      <c r="BK474" s="502"/>
      <c r="BL474" s="502"/>
      <c r="BM474" s="502"/>
      <c r="BN474" s="502"/>
      <c r="BO474" s="502"/>
      <c r="BP474" s="502"/>
      <c r="BQ474" s="502"/>
      <c r="BR474" s="502"/>
      <c r="BS474" s="502"/>
      <c r="BT474" s="502"/>
      <c r="BU474" s="502"/>
      <c r="BV474" s="502"/>
      <c r="BW474" s="502"/>
      <c r="BX474" s="502"/>
      <c r="BY474" s="797"/>
      <c r="BZ474" s="797"/>
      <c r="CA474" s="797"/>
    </row>
    <row r="475" spans="1:99" x14ac:dyDescent="0.25">
      <c r="A475" s="171"/>
      <c r="B475" s="171"/>
      <c r="C475" s="171"/>
      <c r="D475" s="171"/>
      <c r="E475" s="171"/>
      <c r="F475" s="171"/>
      <c r="G475" s="171"/>
      <c r="H475" s="171"/>
      <c r="I475" s="171"/>
      <c r="J475" s="171"/>
      <c r="K475" s="171"/>
      <c r="L475" s="171"/>
      <c r="M475" s="171"/>
      <c r="N475" s="171"/>
      <c r="O475" s="171"/>
      <c r="P475" s="171"/>
      <c r="Q475" s="171"/>
      <c r="R475" s="171"/>
      <c r="S475" s="151"/>
      <c r="T475" s="171"/>
      <c r="U475" s="171"/>
      <c r="V475" s="171"/>
      <c r="W475" s="171"/>
      <c r="X475" s="171"/>
      <c r="Y475" s="171"/>
      <c r="Z475" s="171"/>
      <c r="AA475" s="171"/>
      <c r="AB475" s="171"/>
      <c r="AC475" s="171"/>
      <c r="AD475" s="171"/>
      <c r="AE475" s="171"/>
      <c r="AF475" s="171"/>
      <c r="AG475" s="171"/>
      <c r="AH475" s="171"/>
      <c r="AI475" s="171"/>
      <c r="AJ475" s="171"/>
      <c r="AK475" s="171"/>
      <c r="AL475" s="151"/>
      <c r="AM475" s="502"/>
      <c r="AN475" s="502"/>
      <c r="AO475" s="502"/>
      <c r="AP475" s="502"/>
      <c r="AQ475" s="502"/>
      <c r="AR475" s="502"/>
      <c r="AS475" s="502"/>
      <c r="AT475" s="502"/>
      <c r="AU475" s="502"/>
      <c r="AV475" s="502"/>
      <c r="AW475" s="502"/>
      <c r="AX475" s="502"/>
      <c r="AY475" s="502"/>
      <c r="AZ475" s="502"/>
      <c r="BA475" s="502"/>
      <c r="BB475" s="502"/>
      <c r="BC475" s="502"/>
      <c r="BD475" s="502"/>
      <c r="BE475" s="502"/>
      <c r="BF475" s="502"/>
      <c r="BG475" s="502"/>
      <c r="BH475" s="502"/>
      <c r="BI475" s="502"/>
      <c r="BJ475" s="502"/>
      <c r="BK475" s="502"/>
      <c r="BL475" s="502"/>
      <c r="BM475" s="502"/>
      <c r="BN475" s="502"/>
      <c r="BO475" s="502"/>
      <c r="BP475" s="502"/>
      <c r="BQ475" s="502"/>
      <c r="BR475" s="502"/>
      <c r="BS475" s="502"/>
      <c r="BT475" s="502"/>
      <c r="BU475" s="502"/>
      <c r="BV475" s="502"/>
      <c r="BW475" s="502"/>
      <c r="BX475" s="502"/>
      <c r="BY475" s="797"/>
      <c r="BZ475" s="797"/>
      <c r="CA475" s="797"/>
    </row>
  </sheetData>
  <protectedRanges>
    <protectedRange sqref="H21" name="نطاق46"/>
    <protectedRange sqref="H21" name="نطاق45"/>
    <protectedRange sqref="C38" name="نطاق41"/>
    <protectedRange sqref="W24:W27" name="نطاق39"/>
    <protectedRange sqref="W13:W16" name="نطاق38"/>
    <protectedRange sqref="U28:U31" name="نطاق37"/>
    <protectedRange sqref="T26:U26" name="نطاق36"/>
    <protectedRange sqref="T24:U24" name="نطاق35"/>
    <protectedRange sqref="T22:U22" name="نطاق34"/>
    <protectedRange sqref="T20:U20" name="نطاق33"/>
    <protectedRange sqref="S17:S22" name="نطاق24"/>
    <protectedRange sqref="S17:S22" name="نطاق23"/>
    <protectedRange sqref="S24:S27" name="نطاق22"/>
    <protectedRange sqref="S13:S16" name="نطاق21"/>
    <protectedRange sqref="S17:S22" name="نطاق20"/>
    <protectedRange sqref="Q28:Q31" name="نطاق19"/>
    <protectedRange sqref="P26:Q26" name="نطاق18"/>
    <protectedRange sqref="P24:Q24" name="نطاق17"/>
    <protectedRange sqref="S17:S22" name="نطاق16"/>
    <protectedRange sqref="P22:Q22" name="نطاق15"/>
    <protectedRange sqref="S17:S22" name="نطاق14"/>
    <protectedRange sqref="P20:Q20" name="نطاق13"/>
    <protectedRange sqref="S17:S22" name="نطاق12"/>
    <protectedRange sqref="S17:S22" name="نطاق11"/>
    <protectedRange sqref="H13:H16" name="نطاق10"/>
    <protectedRange sqref="S17:S22" name="نطاق9"/>
    <protectedRange sqref="F28:F31" name="نطاق8"/>
    <protectedRange sqref="H24:H27" name="نطاق7"/>
    <protectedRange sqref="S17:S22" name="نطاق6"/>
    <protectedRange sqref="H24:H26" name="نطاق5"/>
    <protectedRange sqref="E26:F26" name="نطاق4"/>
    <protectedRange sqref="E24:F24" name="نطاق3"/>
    <protectedRange sqref="E22:F22" name="نطاق2"/>
    <protectedRange sqref="A20:B20" name="نطاق1"/>
    <protectedRange sqref="A20:B20" name="نطاق25"/>
    <protectedRange sqref="A22:B22" name="نطاق26"/>
    <protectedRange sqref="A24:B24" name="نطاق27"/>
    <protectedRange sqref="A26:B26" name="نطاق28"/>
    <protectedRange sqref="B28:B31" name="نطاق29"/>
    <protectedRange sqref="D13:D16" name="نطاق30"/>
    <protectedRange sqref="H29" name="نطاق31"/>
    <protectedRange sqref="D24:D27" name="نطاق32"/>
    <protectedRange sqref="E20:F20" name="نطاق40"/>
    <protectedRange sqref="AG10 AG14 AG18 AG22 BA10 BA14 BA18 BA22" name="نطاق2_1"/>
    <protectedRange sqref="AD10:AF10 AD14:AF14 AD18:AF18 AD22:AF22 AX10:AZ10 AX14:AZ14 AX18:AZ18 AX22:AZ22" name="نطاق1_1"/>
    <protectedRange sqref="D21" name="نطاق44"/>
    <protectedRange sqref="CE3 CE7 CE11 CE15 CE19" name="نطاق5_1"/>
    <protectedRange sqref="CI4 CI8 CI12 CI16 CI20" name="نطاق4_1"/>
    <protectedRange sqref="CB3:CD3 CB7:CD7 CB11:CD11 CB15:CD15 CB19:CD19" name="نطاق3_1"/>
    <protectedRange sqref="CB3:CD3 CB7:CD7 CB11:CD11 CB15:CD15 CB19:CD19" name="نطاق1_2"/>
    <protectedRange sqref="CE3 CE7 CE11 CE15 CE19" name="نطاق2_2"/>
  </protectedRange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high="1" low="1" first="1" last="1" negative="1">
          <x14:colorSeries rgb="FFFABF8F"/>
          <x14:colorNegative rgb="FF808080"/>
          <x14:colorAxis rgb="FF000000"/>
          <x14:colorMarkers rgb="FFFDE9D9"/>
          <x14:colorFirst rgb="FFE26B0A"/>
          <x14:colorLast rgb="FFE26B0A"/>
          <x14:colorHigh rgb="FF974706"/>
          <x14:colorLow rgb="FF974706"/>
          <x14:sparklines>
            <x14:sparkline>
              <xm:f>ورقة1!AM332:AM332</xm:f>
              <xm:sqref>AM332</xm:sqref>
            </x14:sparkline>
            <x14:sparkline>
              <xm:f>ورقة1!AN332:AN332</xm:f>
              <xm:sqref>AN332</xm:sqref>
            </x14:sparkline>
            <x14:sparkline>
              <xm:f>ورقة1!AO332:AO332</xm:f>
              <xm:sqref>AO332</xm:sqref>
            </x14:sparkline>
            <x14:sparkline>
              <xm:f>ورقة1!AP332:AP332</xm:f>
              <xm:sqref>AP332</xm:sqref>
            </x14:sparkline>
            <x14:sparkline>
              <xm:f>ورقة1!AQ332:AQ332</xm:f>
              <xm:sqref>AQ332</xm:sqref>
            </x14:sparkline>
            <x14:sparkline>
              <xm:f>ورقة1!AR332:AR332</xm:f>
              <xm:sqref>AR332</xm:sqref>
            </x14:sparkline>
            <x14:sparkline>
              <xm:f>ورقة1!AS332:AS332</xm:f>
              <xm:sqref>AS332</xm:sqref>
            </x14:sparkline>
            <x14:sparkline>
              <xm:f>ورقة1!AT332:AT332</xm:f>
              <xm:sqref>AT332</xm:sqref>
            </x14:sparkline>
          </x14:sparklines>
        </x14:sparklineGroup>
        <x14:sparklineGroup manualMax="0" manualMin="0" displayEmptyCellsAs="gap" markers="1" high="1" low="1" first="1" last="1" negative="1">
          <x14:colorSeries rgb="FFFABF8F"/>
          <x14:colorNegative rgb="FF808080"/>
          <x14:colorAxis rgb="FF000000"/>
          <x14:colorMarkers rgb="FFFDE9D9"/>
          <x14:colorFirst rgb="FFE26B0A"/>
          <x14:colorLast rgb="FFE26B0A"/>
          <x14:colorHigh rgb="FF974706"/>
          <x14:colorLow rgb="FF974706"/>
          <x14:sparklines>
            <x14:sparkline>
              <xm:f>ورقة1!AM306:AM306</xm:f>
              <xm:sqref>AM306</xm:sqref>
            </x14:sparkline>
            <x14:sparkline>
              <xm:f>ورقة1!AN306:AN306</xm:f>
              <xm:sqref>AN306</xm:sqref>
            </x14:sparkline>
            <x14:sparkline>
              <xm:f>ورقة1!AO306:AO306</xm:f>
              <xm:sqref>AO306</xm:sqref>
            </x14:sparkline>
            <x14:sparkline>
              <xm:f>ورقة1!AP306:AP306</xm:f>
              <xm:sqref>AP306</xm:sqref>
            </x14:sparkline>
            <x14:sparkline>
              <xm:f>ورقة1!AQ306:AQ306</xm:f>
              <xm:sqref>AQ306</xm:sqref>
            </x14:sparkline>
            <x14:sparkline>
              <xm:f>ورقة1!AR306:AR306</xm:f>
              <xm:sqref>AR306</xm:sqref>
            </x14:sparkline>
            <x14:sparkline>
              <xm:f>ورقة1!AS306:AS306</xm:f>
              <xm:sqref>AS306</xm:sqref>
            </x14:sparkline>
            <x14:sparkline>
              <xm:f>ورقة1!AT306:AT306</xm:f>
              <xm:sqref>AT306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ورقة1!AM110:AM110</xm:f>
              <xm:sqref>AM110</xm:sqref>
            </x14:sparkline>
            <x14:sparkline>
              <xm:f>ورقة1!AN110:AN110</xm:f>
              <xm:sqref>AN110</xm:sqref>
            </x14:sparkline>
            <x14:sparkline>
              <xm:f>ورقة1!AO110:AO110</xm:f>
              <xm:sqref>AO110</xm:sqref>
            </x14:sparkline>
            <x14:sparkline>
              <xm:f>ورقة1!AP110:AP110</xm:f>
              <xm:sqref>AP110</xm:sqref>
            </x14:sparkline>
            <x14:sparkline>
              <xm:f>ورقة1!AQ110:AQ110</xm:f>
              <xm:sqref>AQ110</xm:sqref>
            </x14:sparkline>
            <x14:sparkline>
              <xm:f>ورقة1!AR110:AR110</xm:f>
              <xm:sqref>AR110</xm:sqref>
            </x14:sparkline>
            <x14:sparkline>
              <xm:f>ورقة1!AS110:AS110</xm:f>
              <xm:sqref>AS110</xm:sqref>
            </x14:sparkline>
            <x14:sparkline>
              <xm:f>ورقة1!AT110:AT110</xm:f>
              <xm:sqref>AT110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ورقة1!AM84:AM84</xm:f>
              <xm:sqref>AM84</xm:sqref>
            </x14:sparkline>
            <x14:sparkline>
              <xm:f>ورقة1!AN84:AN84</xm:f>
              <xm:sqref>AN84</xm:sqref>
            </x14:sparkline>
            <x14:sparkline>
              <xm:f>ورقة1!AO84:AO84</xm:f>
              <xm:sqref>AO84</xm:sqref>
            </x14:sparkline>
            <x14:sparkline>
              <xm:f>ورقة1!AP84:AP84</xm:f>
              <xm:sqref>AP84</xm:sqref>
            </x14:sparkline>
            <x14:sparkline>
              <xm:f>ورقة1!AQ84:AQ84</xm:f>
              <xm:sqref>AQ84</xm:sqref>
            </x14:sparkline>
            <x14:sparkline>
              <xm:f>ورقة1!AR84:AR84</xm:f>
              <xm:sqref>AR84</xm:sqref>
            </x14:sparkline>
            <x14:sparkline>
              <xm:f>ورقة1!AS84:AS84</xm:f>
              <xm:sqref>AS84</xm:sqref>
            </x14:sparkline>
            <x14:sparkline>
              <xm:f>ورقة1!AT84:AT84</xm:f>
              <xm:sqref>AT84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ورقة1!A332:A332</xm:f>
              <xm:sqref>A332</xm:sqref>
            </x14:sparkline>
            <x14:sparkline>
              <xm:f>ورقة1!B332:B332</xm:f>
              <xm:sqref>B332</xm:sqref>
            </x14:sparkline>
            <x14:sparkline>
              <xm:f>ورقة1!C332:C332</xm:f>
              <xm:sqref>C332</xm:sqref>
            </x14:sparkline>
            <x14:sparkline>
              <xm:f>ورقة1!D332:D332</xm:f>
              <xm:sqref>D332</xm:sqref>
            </x14:sparkline>
            <x14:sparkline>
              <xm:f>ورقة1!E332:E332</xm:f>
              <xm:sqref>E332</xm:sqref>
            </x14:sparkline>
            <x14:sparkline>
              <xm:f>ورقة1!F332:F332</xm:f>
              <xm:sqref>F332</xm:sqref>
            </x14:sparkline>
            <x14:sparkline>
              <xm:f>ورقة1!G332:G332</xm:f>
              <xm:sqref>G332</xm:sqref>
            </x14:sparkline>
            <x14:sparkline>
              <xm:f>ورقة1!H332:H332</xm:f>
              <xm:sqref>H332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ورقة1!A306:A306</xm:f>
              <xm:sqref>A306</xm:sqref>
            </x14:sparkline>
            <x14:sparkline>
              <xm:f>ورقة1!B306:B306</xm:f>
              <xm:sqref>B306</xm:sqref>
            </x14:sparkline>
            <x14:sparkline>
              <xm:f>ورقة1!C306:C306</xm:f>
              <xm:sqref>C306</xm:sqref>
            </x14:sparkline>
            <x14:sparkline>
              <xm:f>ورقة1!D306:D306</xm:f>
              <xm:sqref>D306</xm:sqref>
            </x14:sparkline>
            <x14:sparkline>
              <xm:f>ورقة1!E306:E306</xm:f>
              <xm:sqref>E306</xm:sqref>
            </x14:sparkline>
            <x14:sparkline>
              <xm:f>ورقة1!F306:F306</xm:f>
              <xm:sqref>F306</xm:sqref>
            </x14:sparkline>
            <x14:sparkline>
              <xm:f>ورقة1!G306:G306</xm:f>
              <xm:sqref>G306</xm:sqref>
            </x14:sparkline>
            <x14:sparkline>
              <xm:f>ورقة1!H306:H306</xm:f>
              <xm:sqref>H306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ورقة1!A84:A84</xm:f>
              <xm:sqref>A84</xm:sqref>
            </x14:sparkline>
            <x14:sparkline>
              <xm:f>ورقة1!B84:B84</xm:f>
              <xm:sqref>B84</xm:sqref>
            </x14:sparkline>
            <x14:sparkline>
              <xm:f>ورقة1!C84:C84</xm:f>
              <xm:sqref>C84</xm:sqref>
            </x14:sparkline>
            <x14:sparkline>
              <xm:f>ورقة1!D84:D84</xm:f>
              <xm:sqref>D84</xm:sqref>
            </x14:sparkline>
            <x14:sparkline>
              <xm:f>ورقة1!E84:E84</xm:f>
              <xm:sqref>E84</xm:sqref>
            </x14:sparkline>
            <x14:sparkline>
              <xm:f>ورقة1!F84:F84</xm:f>
              <xm:sqref>F84</xm:sqref>
            </x14:sparkline>
            <x14:sparkline>
              <xm:f>ورقة1!G84:G84</xm:f>
              <xm:sqref>G84</xm:sqref>
            </x14:sparkline>
            <x14:sparkline>
              <xm:f>ورقة1!H84:H84</xm:f>
              <xm:sqref>H84</xm:sqref>
            </x14:sparkline>
          </x14:sparklines>
        </x14:sparklineGroup>
        <x14:sparklineGroup manualMax="0" manualMin="0" displayEmptyCellsAs="gap" markers="1" high="1" low="1" first="1" last="1" negative="1">
          <x14:colorSeries theme="9" tint="0.39997558519241921"/>
          <x14:colorNegative theme="0" tint="-0.499984740745262"/>
          <x14:colorAxis rgb="FF000000"/>
          <x14:colorMarkers theme="9" tint="0.79998168889431442"/>
          <x14:colorFirst theme="9" tint="-0.249977111117893"/>
          <x14:colorLast theme="9" tint="-0.249977111117893"/>
          <x14:colorHigh theme="9" tint="-0.499984740745262"/>
          <x14:colorLow theme="9" tint="-0.499984740745262"/>
          <x14:sparklines>
            <x14:sparkline>
              <xm:f>ورقة1!A110:A110</xm:f>
              <xm:sqref>A110</xm:sqref>
            </x14:sparkline>
            <x14:sparkline>
              <xm:f>ورقة1!B110:B110</xm:f>
              <xm:sqref>B110</xm:sqref>
            </x14:sparkline>
            <x14:sparkline>
              <xm:f>ورقة1!C110:C110</xm:f>
              <xm:sqref>C110</xm:sqref>
            </x14:sparkline>
            <x14:sparkline>
              <xm:f>ورقة1!D110:D110</xm:f>
              <xm:sqref>D110</xm:sqref>
            </x14:sparkline>
            <x14:sparkline>
              <xm:f>ورقة1!E110:E110</xm:f>
              <xm:sqref>E110</xm:sqref>
            </x14:sparkline>
            <x14:sparkline>
              <xm:f>ورقة1!F110:F110</xm:f>
              <xm:sqref>F110</xm:sqref>
            </x14:sparkline>
            <x14:sparkline>
              <xm:f>ورقة1!G110:G110</xm:f>
              <xm:sqref>G110</xm:sqref>
            </x14:sparkline>
            <x14:sparkline>
              <xm:f>ورقة1!H110:H110</xm:f>
              <xm:sqref>H110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2</vt:i4>
      </vt:variant>
    </vt:vector>
  </HeadingPairs>
  <TitlesOfParts>
    <vt:vector size="5" baseType="lpstr">
      <vt:lpstr>ورقة1</vt:lpstr>
      <vt:lpstr>ورقة2</vt:lpstr>
      <vt:lpstr>ورقة3</vt:lpstr>
      <vt:lpstr>Chart2</vt:lpstr>
      <vt:lpstr>Chart1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orabi abdullah</dc:creator>
  <cp:lastModifiedBy>orabi abdullah</cp:lastModifiedBy>
  <dcterms:created xsi:type="dcterms:W3CDTF">2014-08-24T08:54:25Z</dcterms:created>
  <dcterms:modified xsi:type="dcterms:W3CDTF">2014-08-26T03:52:01Z</dcterms:modified>
</cp:coreProperties>
</file>