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0" yWindow="-240" windowWidth="15480" windowHeight="9600" activeTab="2"/>
  </bookViews>
  <sheets>
    <sheet name="Chart1" sheetId="4" r:id="rId1"/>
    <sheet name="Chart2" sheetId="5" r:id="rId2"/>
    <sheet name="Sheet1" sheetId="1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K44" i="1" l="1"/>
  <c r="H39" i="1"/>
  <c r="K33" i="1" s="1"/>
  <c r="F38" i="1"/>
  <c r="E40" i="1"/>
  <c r="E39" i="1"/>
  <c r="E38" i="1"/>
  <c r="E37" i="1"/>
  <c r="E36" i="1"/>
  <c r="E35" i="1"/>
  <c r="E34" i="1"/>
  <c r="E33" i="1"/>
  <c r="K38" i="1"/>
  <c r="J38" i="1"/>
  <c r="J40" i="1"/>
  <c r="I48" i="1" s="1"/>
  <c r="L48" i="1" s="1"/>
  <c r="I40" i="1"/>
  <c r="I47" i="1" s="1"/>
  <c r="J47" i="1" s="1"/>
  <c r="L47" i="1" s="1"/>
  <c r="J39" i="1"/>
  <c r="I46" i="1" s="1"/>
  <c r="J46" i="1" s="1"/>
  <c r="I39" i="1"/>
  <c r="I45" i="1" s="1"/>
  <c r="J45" i="1" s="1"/>
  <c r="L45" i="1" s="1"/>
  <c r="D27" i="1"/>
  <c r="A50" i="1" s="1"/>
  <c r="F50" i="1" s="1"/>
  <c r="C27" i="1"/>
  <c r="F51" i="1" s="1"/>
  <c r="C33" i="1"/>
  <c r="M45" i="1" l="1"/>
  <c r="M48" i="1"/>
  <c r="I36" i="1"/>
  <c r="J36" i="1" s="1"/>
  <c r="K36" i="1" s="1"/>
  <c r="M47" i="1"/>
  <c r="F45" i="1"/>
  <c r="F46" i="1" s="1"/>
  <c r="B50" i="1"/>
  <c r="G50" i="1" s="1"/>
  <c r="L37" i="1"/>
  <c r="L36" i="1" s="1"/>
  <c r="L38" i="1"/>
  <c r="K46" i="1"/>
  <c r="L46" i="1"/>
  <c r="M46" i="1" s="1"/>
  <c r="E45" i="1"/>
  <c r="E46" i="1" s="1"/>
  <c r="M39" i="1"/>
  <c r="E51" i="1"/>
  <c r="N39" i="1"/>
  <c r="D28" i="1"/>
  <c r="F42" i="1" s="1"/>
  <c r="L44" i="1"/>
  <c r="A47" i="1"/>
  <c r="A48" i="1" s="1"/>
  <c r="D29" i="1"/>
  <c r="D30" i="1" s="1"/>
  <c r="D33" i="1" s="1"/>
  <c r="D37" i="1" s="1"/>
  <c r="I34" i="1"/>
  <c r="K34" i="1" s="1"/>
  <c r="K35" i="1" s="1"/>
  <c r="K45" i="1"/>
  <c r="K47" i="1"/>
  <c r="J48" i="1"/>
  <c r="K48" i="1" s="1"/>
  <c r="A49" i="1"/>
  <c r="N48" i="1" l="1"/>
  <c r="O48" i="1" s="1"/>
  <c r="P48" i="1" s="1"/>
  <c r="Q48" i="1" s="1"/>
  <c r="N45" i="1"/>
  <c r="N46" i="1" s="1"/>
  <c r="O46" i="1" s="1"/>
  <c r="O45" i="1" s="1"/>
  <c r="P45" i="1" s="1"/>
  <c r="Q45" i="1" s="1"/>
  <c r="E27" i="1" s="1"/>
  <c r="K37" i="1"/>
  <c r="I37" i="1"/>
  <c r="J37" i="1" s="1"/>
  <c r="N47" i="1"/>
  <c r="O47" i="1" s="1"/>
  <c r="P47" i="1" s="1"/>
  <c r="Q47" i="1" s="1"/>
  <c r="P46" i="1"/>
  <c r="Q46" i="1" s="1"/>
  <c r="R45" i="1" s="1"/>
  <c r="R46" i="1" s="1"/>
  <c r="J34" i="1"/>
  <c r="I35" i="1" s="1"/>
  <c r="J35" i="1" s="1"/>
  <c r="G45" i="1"/>
  <c r="L18" i="1"/>
  <c r="L11" i="1"/>
  <c r="L10" i="1" s="1"/>
  <c r="L12" i="1"/>
  <c r="I42" i="1" l="1"/>
  <c r="F27" i="1"/>
  <c r="C51" i="1" s="1"/>
  <c r="I38" i="1"/>
  <c r="I41" i="1" s="1"/>
  <c r="D51" i="1"/>
  <c r="D45" i="1"/>
  <c r="D46" i="1" s="1"/>
  <c r="I19" i="1"/>
  <c r="F28" i="1" l="1"/>
  <c r="C45" i="1"/>
  <c r="C46" i="1" s="1"/>
  <c r="B49" i="1" s="1"/>
  <c r="H45" i="1" s="1"/>
  <c r="F29" i="1"/>
  <c r="F30" i="1" s="1"/>
  <c r="F33" i="1" s="1"/>
  <c r="F37" i="1" s="1"/>
  <c r="N13" i="1"/>
  <c r="M13" i="1"/>
  <c r="I22" i="1"/>
  <c r="L22" i="1" s="1"/>
  <c r="M22" i="1" s="1"/>
  <c r="I21" i="1"/>
  <c r="I20" i="1"/>
  <c r="J20" i="1" s="1"/>
  <c r="L20" i="1" s="1"/>
  <c r="J22" i="1" l="1"/>
  <c r="K22" i="1" s="1"/>
  <c r="J21" i="1"/>
  <c r="K20" i="1"/>
  <c r="J19" i="1"/>
  <c r="K21" i="1" l="1"/>
  <c r="L21" i="1"/>
  <c r="M21" i="1" s="1"/>
  <c r="K19" i="1"/>
  <c r="L19" i="1"/>
  <c r="M19" i="1" s="1"/>
  <c r="M20" i="1"/>
  <c r="I10" i="1"/>
  <c r="I8" i="1"/>
  <c r="P20" i="1" l="1"/>
  <c r="Q20" i="1" s="1"/>
  <c r="R19" i="1" s="1"/>
  <c r="N22" i="1"/>
  <c r="O22" i="1" s="1"/>
  <c r="N21" i="1"/>
  <c r="O21" i="1" s="1"/>
  <c r="N19" i="1"/>
  <c r="N20" i="1" s="1"/>
  <c r="O20" i="1" s="1"/>
  <c r="O19" i="1" s="1"/>
  <c r="J8" i="1"/>
  <c r="J10" i="1"/>
  <c r="P22" i="1" l="1"/>
  <c r="Q22" i="1" s="1"/>
  <c r="P21" i="1"/>
  <c r="Q21" i="1" s="1"/>
  <c r="R20" i="1"/>
  <c r="P19" i="1"/>
  <c r="Q19" i="1" s="1"/>
  <c r="K7" i="1"/>
  <c r="I11" i="1" l="1"/>
  <c r="J11" i="1" s="1"/>
  <c r="K8" i="1"/>
  <c r="K9" i="1" s="1"/>
  <c r="K10" i="1"/>
  <c r="F25" i="1"/>
  <c r="E25" i="1"/>
  <c r="E1" i="1" l="1"/>
  <c r="D25" i="1" s="1"/>
  <c r="K11" i="1"/>
  <c r="F1" i="1" s="1"/>
  <c r="I9" i="1"/>
  <c r="J9" i="1" s="1"/>
  <c r="C7" i="1"/>
  <c r="F3" i="1" l="1"/>
  <c r="C25" i="1"/>
  <c r="A24" i="1"/>
  <c r="F24" i="1" s="1"/>
  <c r="B24" i="1"/>
  <c r="D2" i="1" l="1"/>
  <c r="F2" i="1"/>
  <c r="I16" i="1" l="1"/>
  <c r="G1" i="1" s="1"/>
  <c r="I12" i="1"/>
  <c r="I15" i="1" s="1"/>
  <c r="H1" i="1" s="1"/>
  <c r="F4" i="1"/>
  <c r="E19" i="1"/>
  <c r="G27" i="1" l="1"/>
  <c r="B45" i="1" s="1"/>
  <c r="B46" i="1" s="1"/>
  <c r="H27" i="1"/>
  <c r="F7" i="1"/>
  <c r="A21" i="1"/>
  <c r="A22" i="1" s="1"/>
  <c r="A23" i="1" s="1"/>
  <c r="F19" i="1"/>
  <c r="F20" i="1" s="1"/>
  <c r="E20" i="1"/>
  <c r="D19" i="1"/>
  <c r="D20" i="1" s="1"/>
  <c r="C19" i="1"/>
  <c r="C20" i="1" s="1"/>
  <c r="B23" i="1" s="1"/>
  <c r="B19" i="1"/>
  <c r="B20" i="1" s="1"/>
  <c r="A19" i="1"/>
  <c r="A20" i="1" s="1"/>
  <c r="G12" i="1"/>
  <c r="A25" i="1" l="1"/>
  <c r="H2" i="1"/>
  <c r="I1" i="1" s="1"/>
  <c r="J1" i="1" s="1"/>
  <c r="K1" i="1" s="1"/>
  <c r="A51" i="1"/>
  <c r="A45" i="1"/>
  <c r="A46" i="1" s="1"/>
  <c r="G38" i="1"/>
  <c r="H29" i="1"/>
  <c r="H30" i="1" s="1"/>
  <c r="F41" i="1" s="1"/>
  <c r="H28" i="1"/>
  <c r="I27" i="1" s="1"/>
  <c r="J27" i="1" s="1"/>
  <c r="K27" i="1" s="1"/>
  <c r="B51" i="1"/>
  <c r="B25" i="1"/>
  <c r="H3" i="1"/>
  <c r="H4" i="1" s="1"/>
  <c r="D3" i="1"/>
  <c r="D4" i="1" s="1"/>
  <c r="G41" i="1" l="1"/>
  <c r="H33" i="1"/>
  <c r="H37" i="1" s="1"/>
  <c r="I28" i="1"/>
  <c r="J28" i="1" s="1"/>
  <c r="K28" i="1" s="1"/>
  <c r="I29" i="1" s="1"/>
  <c r="H31" i="1" s="1"/>
  <c r="H34" i="1" s="1"/>
  <c r="I2" i="1"/>
  <c r="J2" i="1" s="1"/>
  <c r="K2" i="1" s="1"/>
  <c r="I3" i="1" s="1"/>
  <c r="M10" i="1" s="1"/>
  <c r="M11" i="1" s="1"/>
  <c r="D7" i="1"/>
  <c r="D11" i="1" s="1"/>
  <c r="F15" i="1"/>
  <c r="G15" i="1" s="1"/>
  <c r="F11" i="1"/>
  <c r="C28" i="1" l="1"/>
  <c r="M36" i="1"/>
  <c r="M37" i="1" s="1"/>
  <c r="F31" i="1"/>
  <c r="F34" i="1" s="1"/>
  <c r="H32" i="1"/>
  <c r="H35" i="1" s="1"/>
  <c r="G29" i="1" s="1"/>
  <c r="D31" i="1"/>
  <c r="D34" i="1" s="1"/>
  <c r="D5" i="1"/>
  <c r="D8" i="1" s="1"/>
  <c r="F5" i="1"/>
  <c r="F6" i="1" s="1"/>
  <c r="H5" i="1"/>
  <c r="H6" i="1" s="1"/>
  <c r="C16" i="1" s="1"/>
  <c r="C17" i="1" s="1"/>
  <c r="H7" i="1"/>
  <c r="C2" i="1" s="1"/>
  <c r="D32" i="1" l="1"/>
  <c r="D36" i="1" s="1"/>
  <c r="C29" i="1" s="1"/>
  <c r="H36" i="1"/>
  <c r="G28" i="1" s="1"/>
  <c r="C42" i="1"/>
  <c r="C43" i="1" s="1"/>
  <c r="F32" i="1"/>
  <c r="B42" i="1" s="1"/>
  <c r="B43" i="1" s="1"/>
  <c r="H11" i="1"/>
  <c r="H10" i="1" s="1"/>
  <c r="H8" i="1"/>
  <c r="H9" i="1" s="1"/>
  <c r="D6" i="1"/>
  <c r="F8" i="1"/>
  <c r="F9" i="1" s="1"/>
  <c r="E5" i="1" s="1"/>
  <c r="A42" i="1" l="1"/>
  <c r="B44" i="1" s="1"/>
  <c r="D35" i="1"/>
  <c r="E29" i="1" s="1"/>
  <c r="F36" i="1"/>
  <c r="E30" i="1" s="1"/>
  <c r="F35" i="1"/>
  <c r="E31" i="1" s="1"/>
  <c r="D10" i="1"/>
  <c r="C3" i="1" s="1"/>
  <c r="G3" i="1"/>
  <c r="G2" i="1"/>
  <c r="A16" i="1"/>
  <c r="A17" i="1" s="1"/>
  <c r="D9" i="1"/>
  <c r="E3" i="1" s="1"/>
  <c r="B16" i="1"/>
  <c r="F10" i="1"/>
  <c r="E4" i="1" s="1"/>
  <c r="A43" i="1" l="1"/>
  <c r="A44" i="1" s="1"/>
  <c r="F44" i="1" s="1"/>
  <c r="C30" i="1" s="1"/>
  <c r="B17" i="1"/>
  <c r="A18" i="1" s="1"/>
  <c r="B18" i="1"/>
  <c r="D42" i="1" l="1"/>
  <c r="F43" i="1"/>
  <c r="C31" i="1" s="1"/>
  <c r="C37" i="1" s="1"/>
  <c r="F18" i="1"/>
  <c r="F17" i="1"/>
  <c r="C5" i="1" s="1"/>
  <c r="D16" i="1"/>
  <c r="C32" i="1" l="1"/>
  <c r="C34" i="1" s="1"/>
  <c r="C35" i="1" s="1"/>
  <c r="C41" i="1" s="1"/>
  <c r="B35" i="1" s="1"/>
  <c r="B37" i="1"/>
  <c r="B34" i="1" s="1"/>
  <c r="D44" i="1"/>
  <c r="C36" i="1"/>
  <c r="B31" i="1" s="1"/>
  <c r="F16" i="1"/>
  <c r="D18" i="1"/>
  <c r="C4" i="1"/>
  <c r="B11" i="1" s="1"/>
  <c r="A41" i="1" l="1"/>
  <c r="D41" i="1"/>
  <c r="B36" i="1"/>
  <c r="A40" i="1"/>
  <c r="B39" i="1"/>
  <c r="B38" i="1"/>
  <c r="C11" i="1"/>
  <c r="C10" i="1"/>
  <c r="C40" i="1" l="1"/>
  <c r="B40" i="1" s="1"/>
  <c r="B33" i="1" s="1"/>
  <c r="A32" i="1"/>
  <c r="A31" i="1" s="1"/>
  <c r="E44" i="1" s="1"/>
  <c r="A37" i="1"/>
  <c r="A34" i="1" s="1"/>
  <c r="B5" i="1"/>
  <c r="A15" i="1"/>
  <c r="B8" i="1"/>
  <c r="B32" i="1" l="1"/>
  <c r="G44" i="1"/>
  <c r="H43" i="1"/>
  <c r="H44" i="1"/>
  <c r="G19" i="1"/>
  <c r="A36" i="1" l="1"/>
  <c r="A35" i="1" s="1"/>
  <c r="G46" i="1"/>
  <c r="H42" i="1"/>
  <c r="G42" i="1" s="1"/>
  <c r="G39" i="1"/>
  <c r="H46" i="1" s="1"/>
  <c r="C6" i="1"/>
  <c r="D49" i="1" l="1"/>
  <c r="I30" i="1"/>
  <c r="J30" i="1" s="1"/>
  <c r="A28" i="1" s="1"/>
  <c r="I32" i="1"/>
  <c r="H51" i="1"/>
  <c r="A33" i="1"/>
  <c r="E43" i="1" s="1"/>
  <c r="G43" i="1" s="1"/>
  <c r="G40" i="1" s="1"/>
  <c r="I33" i="1"/>
  <c r="C50" i="1"/>
  <c r="H50" i="1" s="1"/>
  <c r="G51" i="1"/>
  <c r="E49" i="1"/>
  <c r="I31" i="1"/>
  <c r="J31" i="1" s="1"/>
  <c r="K31" i="1" s="1"/>
  <c r="A29" i="1" s="1"/>
  <c r="D50" i="1" s="1"/>
  <c r="G37" i="1"/>
  <c r="G35" i="1" s="1"/>
  <c r="H41" i="1"/>
  <c r="C8" i="1"/>
  <c r="D15" i="1" s="1"/>
  <c r="B48" i="1" l="1"/>
  <c r="B47" i="1"/>
  <c r="K30" i="1"/>
  <c r="A39" i="1" s="1"/>
  <c r="A27" i="1" s="1"/>
  <c r="P39" i="1" s="1"/>
  <c r="B27" i="1"/>
  <c r="O39" i="1" s="1"/>
  <c r="G36" i="1"/>
  <c r="G34" i="1" s="1"/>
  <c r="G33" i="1" s="1"/>
  <c r="C9" i="1"/>
  <c r="C15" i="1" s="1"/>
  <c r="B9" i="1" s="1"/>
  <c r="A11" i="1" s="1"/>
  <c r="C47" i="1" l="1"/>
  <c r="D47" i="1" s="1"/>
  <c r="E47" i="1" s="1"/>
  <c r="C48" i="1"/>
  <c r="D48" i="1" s="1"/>
  <c r="B28" i="1"/>
  <c r="A38" i="1" s="1"/>
  <c r="B29" i="1" s="1"/>
  <c r="A30" i="1" s="1"/>
  <c r="B10" i="1"/>
  <c r="B12" i="1"/>
  <c r="B13" i="1"/>
  <c r="A8" i="1"/>
  <c r="A6" i="1"/>
  <c r="A5" i="1" s="1"/>
  <c r="E18" i="1" s="1"/>
  <c r="E48" i="1" l="1"/>
  <c r="F48" i="1" s="1"/>
  <c r="G48" i="1" s="1"/>
  <c r="H48" i="1" s="1"/>
  <c r="B30" i="1"/>
  <c r="E50" i="1" s="1"/>
  <c r="C14" i="1"/>
  <c r="B14" i="1" s="1"/>
  <c r="B7" i="1" s="1"/>
  <c r="A10" i="1" s="1"/>
  <c r="A9" i="1" s="1"/>
  <c r="F47" i="1"/>
  <c r="G47" i="1" s="1"/>
  <c r="H47" i="1" s="1"/>
  <c r="G18" i="1"/>
  <c r="H18" i="1"/>
  <c r="H17" i="1"/>
  <c r="F39" i="1" l="1"/>
  <c r="G5" i="1" s="1"/>
  <c r="B6" i="1"/>
  <c r="F40" i="1"/>
  <c r="C49" i="1"/>
  <c r="F49" i="1" s="1"/>
  <c r="G49" i="1" s="1"/>
  <c r="H49" i="1" s="1"/>
  <c r="J42" i="1"/>
  <c r="J43" i="1" s="1"/>
  <c r="J44" i="1"/>
  <c r="K41" i="1"/>
  <c r="I43" i="1"/>
  <c r="I44" i="1" s="1"/>
  <c r="K42" i="1"/>
  <c r="G20" i="1"/>
  <c r="G13" i="1"/>
  <c r="H20" i="1" s="1"/>
  <c r="H16" i="1"/>
  <c r="H15" i="1" s="1"/>
  <c r="K43" i="1" l="1"/>
  <c r="I5" i="1"/>
  <c r="J5" i="1" s="1"/>
  <c r="K5" i="1" s="1"/>
  <c r="I7" i="1"/>
  <c r="G11" i="1"/>
  <c r="G9" i="1" s="1"/>
  <c r="G25" i="1"/>
  <c r="G24" i="1"/>
  <c r="C24" i="1"/>
  <c r="H24" i="1" s="1"/>
  <c r="G16" i="1"/>
  <c r="E23" i="1"/>
  <c r="A3" i="1" l="1"/>
  <c r="G10" i="1"/>
  <c r="G8" i="1" s="1"/>
  <c r="G7" i="1" s="1"/>
  <c r="B1" i="1" l="1"/>
  <c r="O13" i="1" s="1"/>
  <c r="D24" i="1"/>
  <c r="H19" i="1"/>
  <c r="D23" i="1" l="1"/>
  <c r="A7" i="1"/>
  <c r="I6" i="1"/>
  <c r="I4" i="1"/>
  <c r="J4" i="1" s="1"/>
  <c r="H25" i="1"/>
  <c r="B21" i="1" l="1"/>
  <c r="E17" i="1"/>
  <c r="A2" i="1"/>
  <c r="K4" i="1"/>
  <c r="A13" i="1" s="1"/>
  <c r="A1" i="1" s="1"/>
  <c r="G17" i="1" l="1"/>
  <c r="G14" i="1" s="1"/>
  <c r="B22" i="1"/>
  <c r="B2" i="1"/>
  <c r="A12" i="1" s="1"/>
  <c r="B4" i="1" s="1"/>
  <c r="F13" i="1" s="1"/>
  <c r="P13" i="1"/>
  <c r="B3" i="1" l="1"/>
  <c r="A4" i="1" s="1"/>
  <c r="C21" i="1"/>
  <c r="C22" i="1"/>
  <c r="D21" i="1" l="1"/>
  <c r="N10" i="1"/>
  <c r="G6" i="1" s="1"/>
  <c r="C23" i="1"/>
  <c r="F23" i="1" s="1"/>
  <c r="G23" i="1" s="1"/>
  <c r="H23" i="1" s="1"/>
  <c r="F14" i="1"/>
  <c r="K15" i="1"/>
  <c r="I17" i="1"/>
  <c r="I18" i="1" s="1"/>
  <c r="J18" i="1"/>
  <c r="E24" i="1"/>
  <c r="J16" i="1"/>
  <c r="J17" i="1" s="1"/>
  <c r="K16" i="1"/>
  <c r="D22" i="1"/>
  <c r="K17" i="1" l="1"/>
  <c r="E21" i="1"/>
  <c r="E22" i="1"/>
  <c r="F22" i="1" s="1"/>
  <c r="F21" i="1" l="1"/>
  <c r="G21" i="1" s="1"/>
  <c r="H21" i="1" s="1"/>
  <c r="G22" i="1"/>
  <c r="H22" i="1" s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<sst xmlns="http://schemas.openxmlformats.org/spreadsheetml/2006/main" count="4" uniqueCount="2">
  <si>
    <t>DAY 2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</si>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</sst>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"/>
    <numFmt numFmtId="168" formatCode="0.0000000"/>
    <numFmt numFmtId="169" formatCode="0E+00"/>
    <numFmt numFmtId="170" formatCode="0.0"/>
  </numFmts>
  <fonts count="3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22"/>
      <color rgb="FF00B0F0"/>
      <name val="Calibri"/>
      <family val="2"/>
      <scheme val="minor"/>
    </font>
    <font>
      <sz val="28"/>
      <color rgb="FF00B0F0"/>
      <name val="Calibri"/>
      <family val="2"/>
      <scheme val="minor"/>
    </font>
    <font>
      <b/>
      <sz val="36"/>
      <color rgb="FF00B0F0"/>
      <name val="Calibri"/>
      <family val="2"/>
      <scheme val="minor"/>
    </font>
    <font>
      <sz val="36"/>
      <color rgb="FF00B0F0"/>
      <name val="Calibri"/>
      <family val="2"/>
      <scheme val="minor"/>
    </font>
    <font>
      <sz val="2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00B0F0"/>
      <name val="Cambria"/>
      <family val="1"/>
      <scheme val="major"/>
    </font>
    <font>
      <sz val="48"/>
      <color rgb="FF00B0F0"/>
      <name val="Calibri"/>
      <family val="2"/>
      <scheme val="minor"/>
    </font>
    <font>
      <b/>
      <i/>
      <sz val="36"/>
      <color rgb="FF00B0F0"/>
      <name val="Calibri"/>
      <family val="2"/>
      <scheme val="minor"/>
    </font>
    <font>
      <b/>
      <sz val="48"/>
      <color rgb="FF00B0F0"/>
      <name val="Calibri"/>
      <family val="2"/>
      <scheme val="minor"/>
    </font>
    <font>
      <b/>
      <sz val="36"/>
      <color rgb="FF00B0F0"/>
      <name val="Cambria"/>
      <family val="1"/>
      <scheme val="major"/>
    </font>
    <font>
      <b/>
      <i/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rgb="FF00B0F0"/>
      <name val="Calibri"/>
      <family val="2"/>
      <scheme val="minor"/>
    </font>
    <font>
      <b/>
      <sz val="36"/>
      <name val="Cambria"/>
      <family val="1"/>
      <scheme val="major"/>
    </font>
    <font>
      <b/>
      <i/>
      <sz val="36"/>
      <color rgb="FFFF0000"/>
      <name val="Calibri"/>
      <family val="2"/>
      <scheme val="minor"/>
    </font>
    <font>
      <i/>
      <sz val="28"/>
      <color rgb="FFFFFF0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sz val="48"/>
      <color rgb="FFFFFF00"/>
      <name val="Calibri"/>
      <family val="2"/>
      <scheme val="minor"/>
    </font>
    <font>
      <b/>
      <i/>
      <sz val="36"/>
      <name val="Calibri"/>
      <family val="2"/>
      <scheme val="minor"/>
    </font>
    <font>
      <sz val="36"/>
      <name val="Calibri"/>
      <family val="2"/>
      <scheme val="minor"/>
    </font>
    <font>
      <sz val="22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36"/>
      <color theme="0"/>
      <name val="Cambria"/>
      <family val="1"/>
      <scheme val="major"/>
    </font>
    <font>
      <b/>
      <i/>
      <sz val="48"/>
      <color theme="0"/>
      <name val="Calibri"/>
      <family val="2"/>
      <scheme val="minor"/>
    </font>
    <font>
      <b/>
      <i/>
      <sz val="48"/>
      <color rgb="FF00B0F0"/>
      <name val="Calibri"/>
      <family val="2"/>
      <scheme val="minor"/>
    </font>
    <font>
      <b/>
      <sz val="28"/>
      <color rgb="FF00B0F0"/>
      <name val="Calibri"/>
      <family val="2"/>
      <scheme val="minor"/>
    </font>
    <font>
      <sz val="72"/>
      <name val="Calibri"/>
      <family val="2"/>
      <scheme val="minor"/>
    </font>
    <font>
      <b/>
      <sz val="4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1">
    <xf numFmtId="0" fontId="0" fillId="0" borderId="0" xfId="0"/>
    <xf numFmtId="166" fontId="5" fillId="2" borderId="0" xfId="0" applyNumberFormat="1" applyFont="1" applyFill="1" applyAlignment="1" applyProtection="1">
      <protection hidden="1"/>
    </xf>
    <xf numFmtId="164" fontId="5" fillId="2" borderId="0" xfId="0" applyNumberFormat="1" applyFont="1" applyFill="1" applyAlignment="1" applyProtection="1">
      <protection hidden="1"/>
    </xf>
    <xf numFmtId="2" fontId="5" fillId="2" borderId="0" xfId="0" applyNumberFormat="1" applyFont="1" applyFill="1" applyAlignment="1" applyProtection="1">
      <protection hidden="1"/>
    </xf>
    <xf numFmtId="1" fontId="5" fillId="2" borderId="0" xfId="0" applyNumberFormat="1" applyFont="1" applyFill="1" applyAlignment="1" applyProtection="1">
      <protection hidden="1"/>
    </xf>
    <xf numFmtId="165" fontId="5" fillId="2" borderId="0" xfId="0" applyNumberFormat="1" applyFont="1" applyFill="1" applyAlignment="1" applyProtection="1">
      <protection hidden="1"/>
    </xf>
    <xf numFmtId="1" fontId="5" fillId="2" borderId="0" xfId="1" applyNumberFormat="1" applyFont="1" applyFill="1" applyAlignment="1" applyProtection="1">
      <protection hidden="1"/>
    </xf>
    <xf numFmtId="164" fontId="5" fillId="2" borderId="0" xfId="1" applyNumberFormat="1" applyFont="1" applyFill="1" applyAlignment="1" applyProtection="1">
      <protection hidden="1"/>
    </xf>
    <xf numFmtId="2" fontId="7" fillId="2" borderId="0" xfId="0" applyNumberFormat="1" applyFont="1" applyFill="1" applyAlignment="1" applyProtection="1">
      <protection hidden="1"/>
    </xf>
    <xf numFmtId="1" fontId="7" fillId="2" borderId="0" xfId="0" applyNumberFormat="1" applyFont="1" applyFill="1" applyAlignment="1" applyProtection="1">
      <protection hidden="1"/>
    </xf>
    <xf numFmtId="167" fontId="8" fillId="2" borderId="0" xfId="1" applyNumberFormat="1" applyFont="1" applyFill="1" applyBorder="1" applyAlignment="1" applyProtection="1">
      <protection hidden="1"/>
    </xf>
    <xf numFmtId="0" fontId="0" fillId="3" borderId="0" xfId="0" applyFill="1"/>
    <xf numFmtId="0" fontId="4" fillId="3" borderId="0" xfId="0" applyFont="1" applyFill="1"/>
    <xf numFmtId="166" fontId="8" fillId="2" borderId="0" xfId="0" applyNumberFormat="1" applyFont="1" applyFill="1" applyBorder="1" applyAlignment="1" applyProtection="1">
      <alignment horizontal="center"/>
      <protection hidden="1"/>
    </xf>
    <xf numFmtId="166" fontId="6" fillId="2" borderId="0" xfId="0" applyNumberFormat="1" applyFont="1" applyFill="1" applyAlignment="1" applyProtection="1">
      <protection hidden="1"/>
    </xf>
    <xf numFmtId="1" fontId="6" fillId="2" borderId="0" xfId="0" applyNumberFormat="1" applyFont="1" applyFill="1" applyBorder="1" applyAlignment="1" applyProtection="1">
      <protection hidden="1"/>
    </xf>
    <xf numFmtId="1" fontId="6" fillId="2" borderId="0" xfId="1" applyNumberFormat="1" applyFont="1" applyFill="1" applyBorder="1" applyAlignment="1" applyProtection="1">
      <protection hidden="1"/>
    </xf>
    <xf numFmtId="164" fontId="7" fillId="2" borderId="0" xfId="0" applyNumberFormat="1" applyFont="1" applyFill="1" applyAlignment="1" applyProtection="1">
      <protection hidden="1"/>
    </xf>
    <xf numFmtId="168" fontId="7" fillId="2" borderId="0" xfId="0" applyNumberFormat="1" applyFont="1" applyFill="1" applyAlignment="1" applyProtection="1">
      <protection hidden="1"/>
    </xf>
    <xf numFmtId="166" fontId="1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Alignment="1" applyProtection="1">
      <protection hidden="1"/>
    </xf>
    <xf numFmtId="167" fontId="6" fillId="2" borderId="0" xfId="1" applyNumberFormat="1" applyFont="1" applyFill="1" applyBorder="1" applyAlignment="1" applyProtection="1">
      <protection hidden="1"/>
    </xf>
    <xf numFmtId="164" fontId="6" fillId="2" borderId="0" xfId="1" applyNumberFormat="1" applyFont="1" applyFill="1" applyBorder="1" applyAlignment="1" applyProtection="1">
      <protection hidden="1"/>
    </xf>
    <xf numFmtId="1" fontId="18" fillId="2" borderId="2" xfId="0" applyNumberFormat="1" applyFont="1" applyFill="1" applyBorder="1" applyAlignment="1" applyProtection="1">
      <protection hidden="1"/>
    </xf>
    <xf numFmtId="1" fontId="6" fillId="6" borderId="3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Alignment="1" applyProtection="1">
      <protection hidden="1"/>
    </xf>
    <xf numFmtId="166" fontId="8" fillId="2" borderId="0" xfId="1" applyNumberFormat="1" applyFont="1" applyFill="1" applyBorder="1" applyAlignment="1" applyProtection="1">
      <protection hidden="1"/>
    </xf>
    <xf numFmtId="166" fontId="7" fillId="2" borderId="0" xfId="1" applyNumberFormat="1" applyFont="1" applyFill="1" applyBorder="1" applyAlignment="1" applyProtection="1">
      <protection hidden="1"/>
    </xf>
    <xf numFmtId="167" fontId="8" fillId="2" borderId="0" xfId="0" applyNumberFormat="1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protection hidden="1"/>
    </xf>
    <xf numFmtId="2" fontId="12" fillId="2" borderId="0" xfId="0" applyNumberFormat="1" applyFont="1" applyFill="1" applyBorder="1" applyAlignment="1" applyProtection="1">
      <protection hidden="1"/>
    </xf>
    <xf numFmtId="0" fontId="15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0" fillId="2" borderId="0" xfId="0" applyFont="1" applyFill="1" applyProtection="1">
      <protection hidden="1"/>
    </xf>
    <xf numFmtId="166" fontId="8" fillId="2" borderId="0" xfId="0" applyNumberFormat="1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1" fontId="8" fillId="2" borderId="0" xfId="0" applyNumberFormat="1" applyFont="1" applyFill="1" applyBorder="1" applyProtection="1">
      <protection hidden="1"/>
    </xf>
    <xf numFmtId="0" fontId="18" fillId="2" borderId="0" xfId="0" applyFont="1" applyFill="1" applyProtection="1">
      <protection hidden="1"/>
    </xf>
    <xf numFmtId="164" fontId="8" fillId="2" borderId="0" xfId="0" applyNumberFormat="1" applyFont="1" applyFill="1" applyBorder="1" applyProtection="1">
      <protection hidden="1"/>
    </xf>
    <xf numFmtId="1" fontId="12" fillId="2" borderId="0" xfId="0" applyNumberFormat="1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2" fontId="8" fillId="2" borderId="0" xfId="0" applyNumberFormat="1" applyFont="1" applyFill="1" applyBorder="1" applyProtection="1">
      <protection hidden="1"/>
    </xf>
    <xf numFmtId="0" fontId="20" fillId="2" borderId="0" xfId="0" applyFont="1" applyFill="1" applyBorder="1" applyProtection="1">
      <protection hidden="1"/>
    </xf>
    <xf numFmtId="0" fontId="19" fillId="5" borderId="3" xfId="0" applyFont="1" applyFill="1" applyBorder="1" applyProtection="1">
      <protection hidden="1"/>
    </xf>
    <xf numFmtId="0" fontId="17" fillId="5" borderId="3" xfId="0" applyFont="1" applyFill="1" applyBorder="1" applyProtection="1">
      <protection hidden="1"/>
    </xf>
    <xf numFmtId="166" fontId="13" fillId="2" borderId="0" xfId="0" applyNumberFormat="1" applyFont="1" applyFill="1" applyBorder="1" applyProtection="1">
      <protection hidden="1"/>
    </xf>
    <xf numFmtId="0" fontId="18" fillId="2" borderId="0" xfId="0" applyFont="1" applyFill="1" applyBorder="1" applyProtection="1">
      <protection hidden="1"/>
    </xf>
    <xf numFmtId="166" fontId="8" fillId="2" borderId="0" xfId="1" applyNumberFormat="1" applyFont="1" applyFill="1" applyAlignment="1" applyProtection="1">
      <alignment horizontal="center"/>
      <protection hidden="1"/>
    </xf>
    <xf numFmtId="1" fontId="8" fillId="2" borderId="0" xfId="0" applyNumberFormat="1" applyFont="1" applyFill="1" applyProtection="1">
      <protection hidden="1"/>
    </xf>
    <xf numFmtId="0" fontId="12" fillId="2" borderId="0" xfId="0" applyFont="1" applyFill="1" applyProtection="1">
      <protection hidden="1"/>
    </xf>
    <xf numFmtId="1" fontId="12" fillId="2" borderId="0" xfId="0" applyNumberFormat="1" applyFont="1" applyFill="1" applyProtection="1">
      <protection hidden="1"/>
    </xf>
    <xf numFmtId="169" fontId="12" fillId="2" borderId="0" xfId="0" applyNumberFormat="1" applyFont="1" applyFill="1" applyProtection="1">
      <protection hidden="1"/>
    </xf>
    <xf numFmtId="166" fontId="8" fillId="2" borderId="0" xfId="0" applyNumberFormat="1" applyFont="1" applyFill="1" applyAlignment="1" applyProtection="1">
      <alignment horizontal="center"/>
      <protection hidden="1"/>
    </xf>
    <xf numFmtId="164" fontId="4" fillId="2" borderId="0" xfId="0" applyNumberFormat="1" applyFont="1" applyFill="1" applyProtection="1">
      <protection hidden="1"/>
    </xf>
    <xf numFmtId="166" fontId="4" fillId="2" borderId="0" xfId="0" applyNumberFormat="1" applyFont="1" applyFill="1" applyProtection="1">
      <protection hidden="1"/>
    </xf>
    <xf numFmtId="0" fontId="4" fillId="2" borderId="0" xfId="0" applyFont="1" applyFill="1" applyProtection="1">
      <protection hidden="1"/>
    </xf>
    <xf numFmtId="2" fontId="22" fillId="2" borderId="1" xfId="0" applyNumberFormat="1" applyFont="1" applyFill="1" applyBorder="1" applyAlignment="1" applyProtection="1">
      <alignment horizontal="center"/>
      <protection hidden="1"/>
    </xf>
    <xf numFmtId="2" fontId="22" fillId="2" borderId="1" xfId="0" applyNumberFormat="1" applyFont="1" applyFill="1" applyBorder="1" applyAlignment="1" applyProtection="1">
      <protection hidden="1"/>
    </xf>
    <xf numFmtId="165" fontId="23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Border="1" applyAlignment="1" applyProtection="1">
      <alignment horizontal="center"/>
      <protection hidden="1"/>
    </xf>
    <xf numFmtId="165" fontId="13" fillId="6" borderId="1" xfId="0" applyNumberFormat="1" applyFont="1" applyFill="1" applyBorder="1" applyAlignment="1" applyProtection="1">
      <alignment horizontal="center"/>
      <protection hidden="1"/>
    </xf>
    <xf numFmtId="165" fontId="12" fillId="2" borderId="0" xfId="0" applyNumberFormat="1" applyFont="1" applyFill="1" applyProtection="1">
      <protection hidden="1"/>
    </xf>
    <xf numFmtId="2" fontId="12" fillId="2" borderId="0" xfId="0" applyNumberFormat="1" applyFont="1" applyFill="1" applyProtection="1">
      <protection hidden="1"/>
    </xf>
    <xf numFmtId="165" fontId="18" fillId="2" borderId="0" xfId="0" applyNumberFormat="1" applyFont="1" applyFill="1" applyAlignment="1" applyProtection="1">
      <alignment horizontal="center"/>
      <protection hidden="1"/>
    </xf>
    <xf numFmtId="1" fontId="17" fillId="6" borderId="5" xfId="0" applyNumberFormat="1" applyFont="1" applyFill="1" applyBorder="1" applyAlignment="1" applyProtection="1">
      <alignment horizontal="center"/>
      <protection hidden="1"/>
    </xf>
    <xf numFmtId="166" fontId="22" fillId="6" borderId="1" xfId="0" applyNumberFormat="1" applyFont="1" applyFill="1" applyBorder="1" applyProtection="1">
      <protection hidden="1"/>
    </xf>
    <xf numFmtId="0" fontId="10" fillId="0" borderId="0" xfId="0" applyFont="1"/>
    <xf numFmtId="2" fontId="17" fillId="5" borderId="1" xfId="0" applyNumberFormat="1" applyFont="1" applyFill="1" applyBorder="1" applyProtection="1">
      <protection hidden="1"/>
    </xf>
    <xf numFmtId="2" fontId="17" fillId="2" borderId="0" xfId="0" applyNumberFormat="1" applyFont="1" applyFill="1" applyBorder="1" applyAlignment="1" applyProtection="1">
      <protection hidden="1"/>
    </xf>
    <xf numFmtId="2" fontId="25" fillId="8" borderId="0" xfId="0" applyNumberFormat="1" applyFont="1" applyFill="1" applyAlignment="1" applyProtection="1">
      <protection hidden="1"/>
    </xf>
    <xf numFmtId="2" fontId="9" fillId="4" borderId="3" xfId="0" applyNumberFormat="1" applyFont="1" applyFill="1" applyBorder="1" applyAlignment="1" applyProtection="1">
      <protection hidden="1"/>
    </xf>
    <xf numFmtId="1" fontId="5" fillId="6" borderId="1" xfId="0" applyNumberFormat="1" applyFont="1" applyFill="1" applyBorder="1" applyAlignment="1" applyProtection="1">
      <protection hidden="1"/>
    </xf>
    <xf numFmtId="166" fontId="26" fillId="8" borderId="0" xfId="0" applyNumberFormat="1" applyFont="1" applyFill="1" applyProtection="1">
      <protection hidden="1"/>
    </xf>
    <xf numFmtId="166" fontId="12" fillId="6" borderId="0" xfId="0" applyNumberFormat="1" applyFont="1" applyFill="1" applyProtection="1">
      <protection hidden="1"/>
    </xf>
    <xf numFmtId="165" fontId="27" fillId="7" borderId="3" xfId="0" applyNumberFormat="1" applyFont="1" applyFill="1" applyBorder="1" applyProtection="1">
      <protection hidden="1"/>
    </xf>
    <xf numFmtId="165" fontId="28" fillId="7" borderId="2" xfId="0" applyNumberFormat="1" applyFont="1" applyFill="1" applyBorder="1" applyAlignment="1" applyProtection="1">
      <alignment horizontal="center"/>
      <protection hidden="1"/>
    </xf>
    <xf numFmtId="165" fontId="28" fillId="7" borderId="1" xfId="0" applyNumberFormat="1" applyFont="1" applyFill="1" applyBorder="1" applyAlignment="1" applyProtection="1">
      <alignment horizontal="center"/>
      <protection hidden="1"/>
    </xf>
    <xf numFmtId="1" fontId="29" fillId="7" borderId="0" xfId="0" applyNumberFormat="1" applyFont="1" applyFill="1" applyAlignment="1" applyProtection="1">
      <protection hidden="1"/>
    </xf>
    <xf numFmtId="0" fontId="28" fillId="7" borderId="0" xfId="0" applyFont="1" applyFill="1" applyBorder="1" applyProtection="1">
      <protection hidden="1"/>
    </xf>
    <xf numFmtId="0" fontId="16" fillId="6" borderId="0" xfId="0" applyFont="1" applyFill="1" applyProtection="1">
      <protection hidden="1"/>
    </xf>
    <xf numFmtId="2" fontId="12" fillId="6" borderId="0" xfId="0" applyNumberFormat="1" applyFont="1" applyFill="1" applyProtection="1">
      <protection hidden="1"/>
    </xf>
    <xf numFmtId="170" fontId="17" fillId="5" borderId="1" xfId="0" applyNumberFormat="1" applyFont="1" applyFill="1" applyBorder="1" applyProtection="1">
      <protection hidden="1"/>
    </xf>
    <xf numFmtId="165" fontId="26" fillId="8" borderId="0" xfId="0" applyNumberFormat="1" applyFont="1" applyFill="1" applyProtection="1">
      <protection hidden="1"/>
    </xf>
    <xf numFmtId="165" fontId="22" fillId="2" borderId="1" xfId="0" applyNumberFormat="1" applyFont="1" applyFill="1" applyBorder="1" applyAlignment="1" applyProtection="1">
      <alignment horizontal="center"/>
      <protection hidden="1"/>
    </xf>
    <xf numFmtId="165" fontId="14" fillId="2" borderId="0" xfId="0" applyNumberFormat="1" applyFont="1" applyFill="1" applyBorder="1" applyAlignment="1" applyProtection="1">
      <alignment horizontal="center"/>
      <protection hidden="1"/>
    </xf>
    <xf numFmtId="165" fontId="5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Alignment="1" applyProtection="1">
      <alignment horizontal="center"/>
      <protection hidden="1"/>
    </xf>
    <xf numFmtId="165" fontId="12" fillId="2" borderId="0" xfId="0" applyNumberFormat="1" applyFont="1" applyFill="1" applyBorder="1" applyAlignment="1" applyProtection="1">
      <protection hidden="1"/>
    </xf>
    <xf numFmtId="165" fontId="15" fillId="2" borderId="0" xfId="0" applyNumberFormat="1" applyFont="1" applyFill="1" applyBorder="1" applyAlignment="1" applyProtection="1">
      <protection hidden="1"/>
    </xf>
    <xf numFmtId="165" fontId="7" fillId="2" borderId="0" xfId="0" applyNumberFormat="1" applyFont="1" applyFill="1" applyAlignment="1" applyProtection="1">
      <protection hidden="1"/>
    </xf>
    <xf numFmtId="165" fontId="5" fillId="6" borderId="1" xfId="0" applyNumberFormat="1" applyFont="1" applyFill="1" applyBorder="1" applyAlignment="1" applyProtection="1">
      <protection hidden="1"/>
    </xf>
    <xf numFmtId="165" fontId="25" fillId="8" borderId="0" xfId="0" applyNumberFormat="1" applyFont="1" applyFill="1" applyAlignment="1" applyProtection="1">
      <protection hidden="1"/>
    </xf>
    <xf numFmtId="165" fontId="9" fillId="4" borderId="3" xfId="0" applyNumberFormat="1" applyFont="1" applyFill="1" applyBorder="1" applyAlignment="1" applyProtection="1">
      <protection hidden="1"/>
    </xf>
    <xf numFmtId="165" fontId="6" fillId="2" borderId="0" xfId="0" applyNumberFormat="1" applyFont="1" applyFill="1" applyBorder="1" applyAlignment="1" applyProtection="1">
      <protection hidden="1"/>
    </xf>
    <xf numFmtId="165" fontId="6" fillId="6" borderId="3" xfId="0" applyNumberFormat="1" applyFont="1" applyFill="1" applyBorder="1" applyAlignment="1" applyProtection="1">
      <protection hidden="1"/>
    </xf>
    <xf numFmtId="165" fontId="18" fillId="2" borderId="2" xfId="0" applyNumberFormat="1" applyFont="1" applyFill="1" applyBorder="1" applyAlignment="1" applyProtection="1">
      <protection hidden="1"/>
    </xf>
    <xf numFmtId="165" fontId="17" fillId="2" borderId="0" xfId="0" applyNumberFormat="1" applyFont="1" applyFill="1" applyBorder="1" applyAlignment="1" applyProtection="1">
      <protection hidden="1"/>
    </xf>
    <xf numFmtId="165" fontId="6" fillId="2" borderId="0" xfId="1" applyNumberFormat="1" applyFont="1" applyFill="1" applyBorder="1" applyAlignment="1" applyProtection="1">
      <protection hidden="1"/>
    </xf>
    <xf numFmtId="165" fontId="8" fillId="2" borderId="0" xfId="0" applyNumberFormat="1" applyFont="1" applyFill="1" applyAlignment="1" applyProtection="1">
      <protection hidden="1"/>
    </xf>
    <xf numFmtId="165" fontId="8" fillId="2" borderId="0" xfId="1" applyNumberFormat="1" applyFont="1" applyFill="1" applyAlignment="1" applyProtection="1">
      <protection hidden="1"/>
    </xf>
    <xf numFmtId="165" fontId="7" fillId="2" borderId="0" xfId="1" applyNumberFormat="1" applyFont="1" applyFill="1" applyBorder="1" applyAlignment="1" applyProtection="1">
      <protection hidden="1"/>
    </xf>
    <xf numFmtId="165" fontId="8" fillId="2" borderId="0" xfId="1" applyNumberFormat="1" applyFont="1" applyFill="1" applyAlignment="1" applyProtection="1">
      <alignment horizontal="center"/>
      <protection hidden="1"/>
    </xf>
    <xf numFmtId="165" fontId="8" fillId="2" borderId="0" xfId="0" applyNumberFormat="1" applyFont="1" applyFill="1" applyAlignment="1" applyProtection="1">
      <alignment horizontal="center"/>
      <protection hidden="1"/>
    </xf>
    <xf numFmtId="165" fontId="30" fillId="6" borderId="0" xfId="0" applyNumberFormat="1" applyFont="1" applyFill="1" applyAlignment="1" applyProtection="1">
      <protection hidden="1"/>
    </xf>
    <xf numFmtId="1" fontId="17" fillId="5" borderId="0" xfId="0" applyNumberFormat="1" applyFont="1" applyFill="1" applyAlignment="1" applyProtection="1">
      <protection hidden="1"/>
    </xf>
    <xf numFmtId="165" fontId="8" fillId="2" borderId="0" xfId="0" applyNumberFormat="1" applyFont="1" applyFill="1" applyBorder="1" applyAlignment="1" applyProtection="1">
      <protection hidden="1"/>
    </xf>
    <xf numFmtId="165" fontId="8" fillId="2" borderId="0" xfId="0" applyNumberFormat="1" applyFont="1" applyFill="1" applyBorder="1" applyAlignment="1" applyProtection="1">
      <alignment horizontal="center"/>
      <protection hidden="1"/>
    </xf>
    <xf numFmtId="165" fontId="8" fillId="2" borderId="0" xfId="1" applyNumberFormat="1" applyFont="1" applyFill="1" applyBorder="1" applyAlignment="1" applyProtection="1">
      <alignment horizontal="center"/>
      <protection hidden="1"/>
    </xf>
    <xf numFmtId="165" fontId="34" fillId="2" borderId="0" xfId="0" applyNumberFormat="1" applyFont="1" applyFill="1" applyBorder="1" applyAlignment="1" applyProtection="1">
      <protection hidden="1"/>
    </xf>
    <xf numFmtId="2" fontId="5" fillId="2" borderId="0" xfId="0" applyNumberFormat="1" applyFont="1" applyFill="1" applyBorder="1" applyAlignment="1" applyProtection="1">
      <protection hidden="1"/>
    </xf>
    <xf numFmtId="167" fontId="34" fillId="2" borderId="0" xfId="0" applyNumberFormat="1" applyFont="1" applyFill="1" applyBorder="1" applyAlignment="1" applyProtection="1">
      <protection hidden="1"/>
    </xf>
    <xf numFmtId="164" fontId="34" fillId="2" borderId="0" xfId="0" applyNumberFormat="1" applyFont="1" applyFill="1" applyBorder="1" applyAlignment="1" applyProtection="1">
      <protection hidden="1"/>
    </xf>
    <xf numFmtId="2" fontId="33" fillId="2" borderId="0" xfId="0" applyNumberFormat="1" applyFont="1" applyFill="1" applyBorder="1" applyAlignment="1" applyProtection="1">
      <protection hidden="1"/>
    </xf>
    <xf numFmtId="2" fontId="6" fillId="2" borderId="0" xfId="0" applyNumberFormat="1" applyFont="1" applyFill="1" applyBorder="1" applyAlignment="1" applyProtection="1">
      <protection hidden="1"/>
    </xf>
    <xf numFmtId="164" fontId="8" fillId="2" borderId="0" xfId="0" applyNumberFormat="1" applyFont="1" applyFill="1" applyBorder="1" applyAlignment="1" applyProtection="1">
      <protection hidden="1"/>
    </xf>
    <xf numFmtId="164" fontId="8" fillId="2" borderId="0" xfId="1" applyNumberFormat="1" applyFont="1" applyFill="1" applyAlignment="1" applyProtection="1">
      <protection hidden="1"/>
    </xf>
    <xf numFmtId="2" fontId="33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/>
    <xf numFmtId="2" fontId="21" fillId="2" borderId="4" xfId="0" applyNumberFormat="1" applyFont="1" applyFill="1" applyBorder="1" applyAlignment="1" applyProtection="1">
      <alignment horizontal="center"/>
      <protection hidden="1"/>
    </xf>
    <xf numFmtId="2" fontId="21" fillId="2" borderId="6" xfId="0" applyNumberFormat="1" applyFont="1" applyFill="1" applyBorder="1" applyAlignment="1" applyProtection="1">
      <alignment horizontal="center"/>
      <protection hidden="1"/>
    </xf>
    <xf numFmtId="0" fontId="11" fillId="2" borderId="0" xfId="0" applyFont="1" applyFill="1" applyBorder="1" applyAlignment="1" applyProtection="1">
      <protection hidden="1"/>
    </xf>
    <xf numFmtId="2" fontId="13" fillId="2" borderId="0" xfId="0" applyNumberFormat="1" applyFont="1" applyFill="1" applyBorder="1" applyAlignment="1" applyProtection="1">
      <alignment horizontal="center"/>
      <protection hidden="1"/>
    </xf>
    <xf numFmtId="167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Border="1" applyAlignment="1" applyProtection="1">
      <alignment horizontal="center"/>
      <protection hidden="1"/>
    </xf>
    <xf numFmtId="164" fontId="4" fillId="2" borderId="0" xfId="0" applyNumberFormat="1" applyFont="1" applyFill="1" applyBorder="1" applyProtection="1">
      <protection hidden="1"/>
    </xf>
    <xf numFmtId="0" fontId="4" fillId="2" borderId="0" xfId="0" applyFont="1" applyFill="1" applyBorder="1"/>
    <xf numFmtId="165" fontId="11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Border="1" applyAlignment="1" applyProtection="1">
      <alignment horizontal="center"/>
      <protection hidden="1"/>
    </xf>
    <xf numFmtId="165" fontId="31" fillId="2" borderId="0" xfId="0" applyNumberFormat="1" applyFont="1" applyFill="1" applyBorder="1" applyAlignment="1" applyProtection="1">
      <alignment horizontal="center"/>
      <protection hidden="1"/>
    </xf>
    <xf numFmtId="165" fontId="32" fillId="2" borderId="7" xfId="0" applyNumberFormat="1" applyFont="1" applyFill="1" applyBorder="1" applyAlignment="1" applyProtection="1">
      <alignment horizontal="center"/>
      <protection hidden="1"/>
    </xf>
    <xf numFmtId="165" fontId="32" fillId="2" borderId="8" xfId="0" applyNumberFormat="1" applyFont="1" applyFill="1" applyBorder="1" applyAlignment="1" applyProtection="1">
      <alignment horizontal="center"/>
      <protection hidden="1"/>
    </xf>
    <xf numFmtId="2" fontId="27" fillId="7" borderId="3" xfId="0" applyNumberFormat="1" applyFont="1" applyFill="1" applyBorder="1" applyProtection="1">
      <protection hidden="1"/>
    </xf>
    <xf numFmtId="2" fontId="35" fillId="2" borderId="0" xfId="0" applyNumberFormat="1" applyFont="1" applyFill="1" applyBorder="1" applyAlignment="1" applyProtection="1">
      <protection hidden="1"/>
    </xf>
    <xf numFmtId="1" fontId="36" fillId="2" borderId="0" xfId="0" applyNumberFormat="1" applyFont="1" applyFill="1" applyAlignment="1" applyProtection="1">
      <protection hidden="1"/>
    </xf>
    <xf numFmtId="165" fontId="30" fillId="2" borderId="0" xfId="0" applyNumberFormat="1" applyFont="1" applyFill="1" applyBorder="1" applyAlignment="1" applyProtection="1">
      <protection hidden="1"/>
    </xf>
    <xf numFmtId="165" fontId="16" fillId="2" borderId="0" xfId="0" applyNumberFormat="1" applyFont="1" applyFill="1" applyBorder="1" applyAlignment="1" applyProtection="1"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Sheet1!$A$1:$A$23</c:f>
              <c:numCache>
                <c:formatCode>0.000</c:formatCode>
                <c:ptCount val="23"/>
                <c:pt idx="0">
                  <c:v>133998.4104301871</c:v>
                </c:pt>
                <c:pt idx="1">
                  <c:v>134038.36265625001</c:v>
                </c:pt>
                <c:pt idx="2">
                  <c:v>134372.18938388344</c:v>
                </c:pt>
                <c:pt idx="3">
                  <c:v>134318.31662313297</c:v>
                </c:pt>
                <c:pt idx="4">
                  <c:v>133746.86394274572</c:v>
                </c:pt>
                <c:pt idx="5">
                  <c:v>3.3971488162328462E-5</c:v>
                </c:pt>
                <c:pt idx="6">
                  <c:v>134056.19166162077</c:v>
                </c:pt>
                <c:pt idx="7">
                  <c:v>133746.8639189759</c:v>
                </c:pt>
                <c:pt idx="8">
                  <c:v>133990.41998497449</c:v>
                </c:pt>
                <c:pt idx="9">
                  <c:v>134431.29111151685</c:v>
                </c:pt>
                <c:pt idx="10">
                  <c:v>1.0201648096795334E-5</c:v>
                </c:pt>
                <c:pt idx="11">
                  <c:v>197.57465200534983</c:v>
                </c:pt>
                <c:pt idx="12">
                  <c:v>134014.39132061225</c:v>
                </c:pt>
                <c:pt idx="13">
                  <c:v>3</c:v>
                </c:pt>
                <c:pt idx="14">
                  <c:v>133746.86390877425</c:v>
                </c:pt>
                <c:pt idx="15">
                  <c:v>133572.695614375</c:v>
                </c:pt>
                <c:pt idx="16">
                  <c:v>133573.10146187499</c:v>
                </c:pt>
                <c:pt idx="17">
                  <c:v>133633.607623955</c:v>
                </c:pt>
                <c:pt idx="18">
                  <c:v>133666.05550069088</c:v>
                </c:pt>
                <c:pt idx="19">
                  <c:v>133666.05550069088</c:v>
                </c:pt>
                <c:pt idx="20">
                  <c:v>134102</c:v>
                </c:pt>
                <c:pt idx="21">
                  <c:v>134102</c:v>
                </c:pt>
                <c:pt idx="22" formatCode="0.0000">
                  <c:v>134102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Sheet1!$B$1:$B$23</c:f>
              <c:numCache>
                <c:formatCode>0.000</c:formatCode>
                <c:ptCount val="23"/>
                <c:pt idx="0">
                  <c:v>134411.59053563906</c:v>
                </c:pt>
                <c:pt idx="1">
                  <c:v>134185.29990703525</c:v>
                </c:pt>
                <c:pt idx="2">
                  <c:v>134112.06822224299</c:v>
                </c:pt>
                <c:pt idx="3">
                  <c:v>134628.86576352219</c:v>
                </c:pt>
                <c:pt idx="4">
                  <c:v>4.6058105363044888E-2</c:v>
                </c:pt>
                <c:pt idx="5">
                  <c:v>133746.66153175</c:v>
                </c:pt>
                <c:pt idx="6">
                  <c:v>133747.12385843217</c:v>
                </c:pt>
                <c:pt idx="7">
                  <c:v>133746.88118056278</c:v>
                </c:pt>
                <c:pt idx="8">
                  <c:v>120732.83959467662</c:v>
                </c:pt>
                <c:pt idx="9">
                  <c:v>148163.75863970327</c:v>
                </c:pt>
                <c:pt idx="10">
                  <c:v>2.3029052681522444E-2</c:v>
                </c:pt>
                <c:pt idx="11">
                  <c:v>114858.9747935003</c:v>
                </c:pt>
                <c:pt idx="12">
                  <c:v>140955.30715443165</c:v>
                </c:pt>
                <c:pt idx="13">
                  <c:v>0.25419239377227576</c:v>
                </c:pt>
                <c:pt idx="15">
                  <c:v>133661.70770792244</c:v>
                </c:pt>
                <c:pt idx="16">
                  <c:v>133661.81836314983</c:v>
                </c:pt>
                <c:pt idx="17">
                  <c:v>133633.40674984548</c:v>
                </c:pt>
                <c:pt idx="18">
                  <c:v>133710.25526041666</c:v>
                </c:pt>
                <c:pt idx="19">
                  <c:v>133710.25526041666</c:v>
                </c:pt>
                <c:pt idx="20">
                  <c:v>134243.74138656881</c:v>
                </c:pt>
                <c:pt idx="21">
                  <c:v>133901.53176888608</c:v>
                </c:pt>
                <c:pt idx="22" formatCode="0.0000">
                  <c:v>133661.93848123937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Sheet1!$C$1:$C$23</c:f>
              <c:numCache>
                <c:formatCode>0.000</c:formatCode>
                <c:ptCount val="23"/>
                <c:pt idx="0">
                  <c:v>134102</c:v>
                </c:pt>
                <c:pt idx="1">
                  <c:v>1.1189178899221588</c:v>
                </c:pt>
                <c:pt idx="2">
                  <c:v>133837.85136656248</c:v>
                </c:pt>
                <c:pt idx="3">
                  <c:v>133746.90420961546</c:v>
                </c:pt>
                <c:pt idx="4">
                  <c:v>133746.88118056278</c:v>
                </c:pt>
                <c:pt idx="5">
                  <c:v>-0.98848547365923878</c:v>
                </c:pt>
                <c:pt idx="6">
                  <c:v>0</c:v>
                </c:pt>
                <c:pt idx="7">
                  <c:v>-0.20901006851057274</c:v>
                </c:pt>
                <c:pt idx="8">
                  <c:v>0.70660341657122339</c:v>
                </c:pt>
                <c:pt idx="9">
                  <c:v>133746.91572414376</c:v>
                </c:pt>
                <c:pt idx="10">
                  <c:v>133746.8696660384</c:v>
                </c:pt>
                <c:pt idx="11">
                  <c:v>1.5</c:v>
                </c:pt>
                <c:pt idx="12">
                  <c:v>1</c:v>
                </c:pt>
                <c:pt idx="13">
                  <c:v>0.48535573486302913</c:v>
                </c:pt>
                <c:pt idx="14">
                  <c:v>-0.70660341657122339</c:v>
                </c:pt>
                <c:pt idx="15">
                  <c:v>133665.81692723898</c:v>
                </c:pt>
                <c:pt idx="16">
                  <c:v>133665.90304684019</c:v>
                </c:pt>
                <c:pt idx="18">
                  <c:v>133661.93848123937</c:v>
                </c:pt>
                <c:pt idx="19">
                  <c:v>133661.93848123937</c:v>
                </c:pt>
                <c:pt idx="20">
                  <c:v>134444.72195055766</c:v>
                </c:pt>
                <c:pt idx="21">
                  <c:v>134202.38417923119</c:v>
                </c:pt>
                <c:pt idx="22" formatCode="0.0000">
                  <c:v>134309.64287424833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Sheet1!$D$1:$D$23</c:f>
              <c:numCache>
                <c:formatCode>0.000</c:formatCode>
                <c:ptCount val="23"/>
                <c:pt idx="0">
                  <c:v>133573</c:v>
                </c:pt>
                <c:pt idx="1">
                  <c:v>1</c:v>
                </c:pt>
                <c:pt idx="2">
                  <c:v>133837.5</c:v>
                </c:pt>
                <c:pt idx="3">
                  <c:v>0.75</c:v>
                </c:pt>
                <c:pt idx="4">
                  <c:v>0.40584750000000003</c:v>
                </c:pt>
                <c:pt idx="5">
                  <c:v>0.30438562499999999</c:v>
                </c:pt>
                <c:pt idx="6">
                  <c:v>0.75</c:v>
                </c:pt>
                <c:pt idx="7">
                  <c:v>134102.40584749999</c:v>
                </c:pt>
                <c:pt idx="8">
                  <c:v>134102.10146187499</c:v>
                </c:pt>
                <c:pt idx="9">
                  <c:v>133573.29688562499</c:v>
                </c:pt>
                <c:pt idx="10">
                  <c:v>133572.99249999999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0.38973770257433304</c:v>
                </c:pt>
                <c:pt idx="15">
                  <c:v>0.20087410951964557</c:v>
                </c:pt>
                <c:pt idx="17">
                  <c:v>133633.50718720219</c:v>
                </c:pt>
                <c:pt idx="18">
                  <c:v>133994.21513121811</c:v>
                </c:pt>
                <c:pt idx="19">
                  <c:v>133994.21513121811</c:v>
                </c:pt>
                <c:pt idx="20">
                  <c:v>134143.40132686097</c:v>
                </c:pt>
                <c:pt idx="21">
                  <c:v>133701.36321646217</c:v>
                </c:pt>
                <c:pt idx="22" formatCode="0.0000">
                  <c:v>133990.41998497449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Sheet1!$E$1:$E$23</c:f>
              <c:numCache>
                <c:formatCode>0.000</c:formatCode>
                <c:ptCount val="23"/>
                <c:pt idx="0">
                  <c:v>133994.21513121811</c:v>
                </c:pt>
                <c:pt idx="1">
                  <c:v>2</c:v>
                </c:pt>
                <c:pt idx="2">
                  <c:v>133837.54698093748</c:v>
                </c:pt>
                <c:pt idx="3">
                  <c:v>133828.24463571026</c:v>
                </c:pt>
                <c:pt idx="4">
                  <c:v>133828.01386239333</c:v>
                </c:pt>
                <c:pt idx="5">
                  <c:v>197.57499999999999</c:v>
                </c:pt>
                <c:pt idx="6">
                  <c:v>-40081</c:v>
                </c:pt>
                <c:pt idx="7">
                  <c:v>498</c:v>
                </c:pt>
                <c:pt idx="8">
                  <c:v>528</c:v>
                </c:pt>
                <c:pt idx="9">
                  <c:v>332</c:v>
                </c:pt>
                <c:pt idx="10">
                  <c:v>44</c:v>
                </c:pt>
                <c:pt idx="11">
                  <c:v>-40151</c:v>
                </c:pt>
                <c:pt idx="12">
                  <c:v>-40148</c:v>
                </c:pt>
                <c:pt idx="13">
                  <c:v>-40106</c:v>
                </c:pt>
                <c:pt idx="14">
                  <c:v>0</c:v>
                </c:pt>
                <c:pt idx="15">
                  <c:v>1.8</c:v>
                </c:pt>
                <c:pt idx="16">
                  <c:v>134056.19166162077</c:v>
                </c:pt>
                <c:pt idx="17">
                  <c:v>133746.86394274572</c:v>
                </c:pt>
                <c:pt idx="18">
                  <c:v>133573</c:v>
                </c:pt>
                <c:pt idx="19">
                  <c:v>133573</c:v>
                </c:pt>
                <c:pt idx="20">
                  <c:v>134595.72068426415</c:v>
                </c:pt>
                <c:pt idx="21">
                  <c:v>134403.45322687295</c:v>
                </c:pt>
                <c:pt idx="22" formatCode="0.0000">
                  <c:v>134431.29111151685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Sheet1!$F$1:$F$23</c:f>
              <c:numCache>
                <c:formatCode>0.000</c:formatCode>
                <c:ptCount val="23"/>
                <c:pt idx="0">
                  <c:v>133661.93848123937</c:v>
                </c:pt>
                <c:pt idx="1">
                  <c:v>0.2766499787394423</c:v>
                </c:pt>
                <c:pt idx="2">
                  <c:v>133828.07680622872</c:v>
                </c:pt>
                <c:pt idx="3">
                  <c:v>0.57695813138707308</c:v>
                </c:pt>
                <c:pt idx="4">
                  <c:v>0.11065522739089106</c:v>
                </c:pt>
                <c:pt idx="5">
                  <c:v>0.23077331693486208</c:v>
                </c:pt>
                <c:pt idx="6">
                  <c:v>0.57695813138707308</c:v>
                </c:pt>
                <c:pt idx="7">
                  <c:v>133994.32578644549</c:v>
                </c:pt>
                <c:pt idx="8">
                  <c:v>133994.09501312856</c:v>
                </c:pt>
                <c:pt idx="9">
                  <c:v>133662.163484975</c:v>
                </c:pt>
                <c:pt idx="10">
                  <c:v>133661.93271165807</c:v>
                </c:pt>
                <c:pt idx="11">
                  <c:v>1</c:v>
                </c:pt>
                <c:pt idx="12">
                  <c:v>134152.02904091458</c:v>
                </c:pt>
                <c:pt idx="13">
                  <c:v>134475.75963054874</c:v>
                </c:pt>
                <c:pt idx="14">
                  <c:v>0.73580484973205673</c:v>
                </c:pt>
                <c:pt idx="15">
                  <c:v>2.52</c:v>
                </c:pt>
                <c:pt idx="16">
                  <c:v>133633.80849836647</c:v>
                </c:pt>
                <c:pt idx="17">
                  <c:v>133633.20587603792</c:v>
                </c:pt>
                <c:pt idx="18">
                  <c:v>134102</c:v>
                </c:pt>
                <c:pt idx="19">
                  <c:v>134102</c:v>
                </c:pt>
                <c:pt idx="20">
                  <c:v>134369.56100556254</c:v>
                </c:pt>
                <c:pt idx="21">
                  <c:v>133851.63952620741</c:v>
                </c:pt>
                <c:pt idx="22" formatCode="0.0000">
                  <c:v>134530.99141857104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Sheet1!$G$1:$G$23</c:f>
              <c:numCache>
                <c:formatCode>0.0000</c:formatCode>
                <c:ptCount val="23"/>
                <c:pt idx="0" formatCode="0.00">
                  <c:v>133710.25526041666</c:v>
                </c:pt>
                <c:pt idx="1">
                  <c:v>133688.31496015115</c:v>
                </c:pt>
                <c:pt idx="2">
                  <c:v>133688.07638669925</c:v>
                </c:pt>
                <c:pt idx="4" formatCode="0">
                  <c:v>131962.97627770127</c:v>
                </c:pt>
                <c:pt idx="5" formatCode="0">
                  <c:v>132906.86678883381</c:v>
                </c:pt>
                <c:pt idx="6" formatCode="0">
                  <c:v>134115.13749728043</c:v>
                </c:pt>
                <c:pt idx="7" formatCode="0">
                  <c:v>134048.93713362399</c:v>
                </c:pt>
                <c:pt idx="8" formatCode="0">
                  <c:v>133596.15581918313</c:v>
                </c:pt>
                <c:pt idx="9" formatCode="0">
                  <c:v>133897.89657148201</c:v>
                </c:pt>
                <c:pt idx="10" formatCode="0">
                  <c:v>133897.89657148201</c:v>
                </c:pt>
                <c:pt idx="11" formatCode="0">
                  <c:v>1.0022586035537375</c:v>
                </c:pt>
                <c:pt idx="12" formatCode="0">
                  <c:v>134048.93713362399</c:v>
                </c:pt>
                <c:pt idx="13" formatCode="0.00000">
                  <c:v>64.240592682219727</c:v>
                </c:pt>
                <c:pt idx="14" formatCode="0.00000">
                  <c:v>2.1563885217669842E-2</c:v>
                </c:pt>
                <c:pt idx="15">
                  <c:v>133746.84807593582</c:v>
                </c:pt>
                <c:pt idx="16">
                  <c:v>134058.71166162076</c:v>
                </c:pt>
                <c:pt idx="17">
                  <c:v>133749.38394274571</c:v>
                </c:pt>
                <c:pt idx="18">
                  <c:v>134102</c:v>
                </c:pt>
                <c:pt idx="19">
                  <c:v>133746.85600934006</c:v>
                </c:pt>
                <c:pt idx="20">
                  <c:v>134708.99085020338</c:v>
                </c:pt>
                <c:pt idx="21">
                  <c:v>134529.14952894422</c:v>
                </c:pt>
                <c:pt idx="22">
                  <c:v>134108.5382848382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Sheet1!$H$1:$H$23</c:f>
              <c:numCache>
                <c:formatCode>0.000</c:formatCode>
                <c:ptCount val="23"/>
                <c:pt idx="0" formatCode="0.00">
                  <c:v>133666.05550069088</c:v>
                </c:pt>
                <c:pt idx="1">
                  <c:v>0.19975972577231005</c:v>
                </c:pt>
                <c:pt idx="2" formatCode="0.0000">
                  <c:v>133688.15538055377</c:v>
                </c:pt>
                <c:pt idx="3">
                  <c:v>0.55338583386765094</c:v>
                </c:pt>
                <c:pt idx="4" formatCode="0.0000000">
                  <c:v>8.6119601209841537E-2</c:v>
                </c:pt>
                <c:pt idx="5" formatCode="0.0000">
                  <c:v>0.23857345189880014</c:v>
                </c:pt>
                <c:pt idx="6" formatCode="0.0000">
                  <c:v>0.55338583386765094</c:v>
                </c:pt>
                <c:pt idx="7" formatCode="0.00">
                  <c:v>133710.34138001787</c:v>
                </c:pt>
                <c:pt idx="8" formatCode="0.00">
                  <c:v>133710.10280656596</c:v>
                </c:pt>
                <c:pt idx="9" formatCode="0.00">
                  <c:v>133666.28854028444</c:v>
                </c:pt>
                <c:pt idx="10" formatCode="0.00">
                  <c:v>133666.04996683254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133746.8956763712</c:v>
                </c:pt>
                <c:pt idx="15" formatCode="0.0000">
                  <c:v>133746.87187615139</c:v>
                </c:pt>
                <c:pt idx="16" formatCode="0.0000">
                  <c:v>133746.85600934006</c:v>
                </c:pt>
                <c:pt idx="17" formatCode="0.0000">
                  <c:v>133746.87980955705</c:v>
                </c:pt>
                <c:pt idx="18" formatCode="0.0000">
                  <c:v>133661.93848123937</c:v>
                </c:pt>
                <c:pt idx="19" formatCode="0.0000">
                  <c:v>134048.93713362399</c:v>
                </c:pt>
                <c:pt idx="20" formatCode="0.0000">
                  <c:v>134539.13322295071</c:v>
                </c:pt>
                <c:pt idx="21" formatCode="0.0000">
                  <c:v>133889.10336632971</c:v>
                </c:pt>
                <c:pt idx="22" formatCode="0.0000">
                  <c:v>134144.95578923108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4881920"/>
        <c:axId val="124900096"/>
      </c:barChart>
      <c:catAx>
        <c:axId val="1248819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4900096"/>
        <c:crosses val="autoZero"/>
        <c:auto val="1"/>
        <c:lblAlgn val="ctr"/>
        <c:lblOffset val="100"/>
        <c:noMultiLvlLbl val="0"/>
      </c:catAx>
      <c:valAx>
        <c:axId val="12490009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488192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Sheet1!$A$1:$A$24</c:f>
              <c:numCache>
                <c:formatCode>0.000</c:formatCode>
                <c:ptCount val="24"/>
                <c:pt idx="0">
                  <c:v>133998.4104301871</c:v>
                </c:pt>
                <c:pt idx="1">
                  <c:v>134038.36265625001</c:v>
                </c:pt>
                <c:pt idx="2">
                  <c:v>134372.18938388344</c:v>
                </c:pt>
                <c:pt idx="3">
                  <c:v>134318.31662313297</c:v>
                </c:pt>
                <c:pt idx="4">
                  <c:v>133746.86394274572</c:v>
                </c:pt>
                <c:pt idx="5">
                  <c:v>3.3971488162328462E-5</c:v>
                </c:pt>
                <c:pt idx="6">
                  <c:v>134056.19166162077</c:v>
                </c:pt>
                <c:pt idx="7">
                  <c:v>133746.8639189759</c:v>
                </c:pt>
                <c:pt idx="8">
                  <c:v>133990.41998497449</c:v>
                </c:pt>
                <c:pt idx="9">
                  <c:v>134431.29111151685</c:v>
                </c:pt>
                <c:pt idx="10">
                  <c:v>1.0201648096795334E-5</c:v>
                </c:pt>
                <c:pt idx="11">
                  <c:v>197.57465200534983</c:v>
                </c:pt>
                <c:pt idx="12">
                  <c:v>134014.39132061225</c:v>
                </c:pt>
                <c:pt idx="13">
                  <c:v>3</c:v>
                </c:pt>
                <c:pt idx="14">
                  <c:v>133746.86390877425</c:v>
                </c:pt>
                <c:pt idx="15">
                  <c:v>133572.695614375</c:v>
                </c:pt>
                <c:pt idx="16">
                  <c:v>133573.10146187499</c:v>
                </c:pt>
                <c:pt idx="17">
                  <c:v>133633.607623955</c:v>
                </c:pt>
                <c:pt idx="18">
                  <c:v>133666.05550069088</c:v>
                </c:pt>
                <c:pt idx="19">
                  <c:v>133666.05550069088</c:v>
                </c:pt>
                <c:pt idx="20">
                  <c:v>134102</c:v>
                </c:pt>
                <c:pt idx="21">
                  <c:v>134102</c:v>
                </c:pt>
                <c:pt idx="22" formatCode="0.0000">
                  <c:v>134102</c:v>
                </c:pt>
                <c:pt idx="23" formatCode="0.0000">
                  <c:v>133573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Sheet1!$B$1:$B$24</c:f>
              <c:numCache>
                <c:formatCode>0.000</c:formatCode>
                <c:ptCount val="24"/>
                <c:pt idx="0">
                  <c:v>134411.59053563906</c:v>
                </c:pt>
                <c:pt idx="1">
                  <c:v>134185.29990703525</c:v>
                </c:pt>
                <c:pt idx="2">
                  <c:v>134112.06822224299</c:v>
                </c:pt>
                <c:pt idx="3">
                  <c:v>134628.86576352219</c:v>
                </c:pt>
                <c:pt idx="4">
                  <c:v>4.6058105363044888E-2</c:v>
                </c:pt>
                <c:pt idx="5">
                  <c:v>133746.66153175</c:v>
                </c:pt>
                <c:pt idx="6">
                  <c:v>133747.12385843217</c:v>
                </c:pt>
                <c:pt idx="7">
                  <c:v>133746.88118056278</c:v>
                </c:pt>
                <c:pt idx="8">
                  <c:v>120732.83959467662</c:v>
                </c:pt>
                <c:pt idx="9">
                  <c:v>148163.75863970327</c:v>
                </c:pt>
                <c:pt idx="10">
                  <c:v>2.3029052681522444E-2</c:v>
                </c:pt>
                <c:pt idx="11">
                  <c:v>114858.9747935003</c:v>
                </c:pt>
                <c:pt idx="12">
                  <c:v>140955.30715443165</c:v>
                </c:pt>
                <c:pt idx="13">
                  <c:v>0.25419239377227576</c:v>
                </c:pt>
                <c:pt idx="15">
                  <c:v>133661.70770792244</c:v>
                </c:pt>
                <c:pt idx="16">
                  <c:v>133661.81836314983</c:v>
                </c:pt>
                <c:pt idx="17">
                  <c:v>133633.40674984548</c:v>
                </c:pt>
                <c:pt idx="18">
                  <c:v>133710.25526041666</c:v>
                </c:pt>
                <c:pt idx="19">
                  <c:v>133710.25526041666</c:v>
                </c:pt>
                <c:pt idx="20">
                  <c:v>134243.74138656881</c:v>
                </c:pt>
                <c:pt idx="21">
                  <c:v>133901.53176888608</c:v>
                </c:pt>
                <c:pt idx="22" formatCode="0.0000">
                  <c:v>133661.93848123937</c:v>
                </c:pt>
                <c:pt idx="23" formatCode="0.0000">
                  <c:v>134102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Sheet1!$C$1:$C$24</c:f>
              <c:numCache>
                <c:formatCode>0.000</c:formatCode>
                <c:ptCount val="24"/>
                <c:pt idx="0">
                  <c:v>134102</c:v>
                </c:pt>
                <c:pt idx="1">
                  <c:v>1.1189178899221588</c:v>
                </c:pt>
                <c:pt idx="2">
                  <c:v>133837.85136656248</c:v>
                </c:pt>
                <c:pt idx="3">
                  <c:v>133746.90420961546</c:v>
                </c:pt>
                <c:pt idx="4">
                  <c:v>133746.88118056278</c:v>
                </c:pt>
                <c:pt idx="5">
                  <c:v>-0.98848547365923878</c:v>
                </c:pt>
                <c:pt idx="6">
                  <c:v>0</c:v>
                </c:pt>
                <c:pt idx="7">
                  <c:v>-0.20901006851057274</c:v>
                </c:pt>
                <c:pt idx="8">
                  <c:v>0.70660341657122339</c:v>
                </c:pt>
                <c:pt idx="9">
                  <c:v>133746.91572414376</c:v>
                </c:pt>
                <c:pt idx="10">
                  <c:v>133746.8696660384</c:v>
                </c:pt>
                <c:pt idx="11">
                  <c:v>1.5</c:v>
                </c:pt>
                <c:pt idx="12">
                  <c:v>1</c:v>
                </c:pt>
                <c:pt idx="13">
                  <c:v>0.48535573486302913</c:v>
                </c:pt>
                <c:pt idx="14">
                  <c:v>-0.70660341657122339</c:v>
                </c:pt>
                <c:pt idx="15">
                  <c:v>133665.81692723898</c:v>
                </c:pt>
                <c:pt idx="16">
                  <c:v>133665.90304684019</c:v>
                </c:pt>
                <c:pt idx="18">
                  <c:v>133661.93848123937</c:v>
                </c:pt>
                <c:pt idx="19">
                  <c:v>133661.93848123937</c:v>
                </c:pt>
                <c:pt idx="20">
                  <c:v>134444.72195055766</c:v>
                </c:pt>
                <c:pt idx="21">
                  <c:v>134202.38417923119</c:v>
                </c:pt>
                <c:pt idx="22" formatCode="0.0000">
                  <c:v>134309.64287424833</c:v>
                </c:pt>
                <c:pt idx="23" formatCode="0.0000">
                  <c:v>134431.29111151685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Sheet1!$D$1:$D$24</c:f>
              <c:numCache>
                <c:formatCode>0.000</c:formatCode>
                <c:ptCount val="24"/>
                <c:pt idx="0">
                  <c:v>133573</c:v>
                </c:pt>
                <c:pt idx="1">
                  <c:v>1</c:v>
                </c:pt>
                <c:pt idx="2">
                  <c:v>133837.5</c:v>
                </c:pt>
                <c:pt idx="3">
                  <c:v>0.75</c:v>
                </c:pt>
                <c:pt idx="4">
                  <c:v>0.40584750000000003</c:v>
                </c:pt>
                <c:pt idx="5">
                  <c:v>0.30438562499999999</c:v>
                </c:pt>
                <c:pt idx="6">
                  <c:v>0.75</c:v>
                </c:pt>
                <c:pt idx="7">
                  <c:v>134102.40584749999</c:v>
                </c:pt>
                <c:pt idx="8">
                  <c:v>134102.10146187499</c:v>
                </c:pt>
                <c:pt idx="9">
                  <c:v>133573.29688562499</c:v>
                </c:pt>
                <c:pt idx="10">
                  <c:v>133572.99249999999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0.38973770257433304</c:v>
                </c:pt>
                <c:pt idx="15">
                  <c:v>0.20087410951964557</c:v>
                </c:pt>
                <c:pt idx="17">
                  <c:v>133633.50718720219</c:v>
                </c:pt>
                <c:pt idx="18">
                  <c:v>133994.21513121811</c:v>
                </c:pt>
                <c:pt idx="19">
                  <c:v>133994.21513121811</c:v>
                </c:pt>
                <c:pt idx="20">
                  <c:v>134143.40132686097</c:v>
                </c:pt>
                <c:pt idx="21">
                  <c:v>133701.36321646217</c:v>
                </c:pt>
                <c:pt idx="22" formatCode="0.0000">
                  <c:v>133990.41998497449</c:v>
                </c:pt>
                <c:pt idx="23" formatCode="0.0000">
                  <c:v>134372.18938388344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Sheet1!$E$1:$E$24</c:f>
              <c:numCache>
                <c:formatCode>0.000</c:formatCode>
                <c:ptCount val="24"/>
                <c:pt idx="0">
                  <c:v>133994.21513121811</c:v>
                </c:pt>
                <c:pt idx="1">
                  <c:v>2</c:v>
                </c:pt>
                <c:pt idx="2">
                  <c:v>133837.54698093748</c:v>
                </c:pt>
                <c:pt idx="3">
                  <c:v>133828.24463571026</c:v>
                </c:pt>
                <c:pt idx="4">
                  <c:v>133828.01386239333</c:v>
                </c:pt>
                <c:pt idx="5">
                  <c:v>197.57499999999999</c:v>
                </c:pt>
                <c:pt idx="6">
                  <c:v>-40081</c:v>
                </c:pt>
                <c:pt idx="7">
                  <c:v>498</c:v>
                </c:pt>
                <c:pt idx="8">
                  <c:v>528</c:v>
                </c:pt>
                <c:pt idx="9">
                  <c:v>332</c:v>
                </c:pt>
                <c:pt idx="10">
                  <c:v>44</c:v>
                </c:pt>
                <c:pt idx="11">
                  <c:v>-40151</c:v>
                </c:pt>
                <c:pt idx="12">
                  <c:v>-40148</c:v>
                </c:pt>
                <c:pt idx="13">
                  <c:v>-40106</c:v>
                </c:pt>
                <c:pt idx="14">
                  <c:v>0</c:v>
                </c:pt>
                <c:pt idx="15">
                  <c:v>1.8</c:v>
                </c:pt>
                <c:pt idx="16">
                  <c:v>134056.19166162077</c:v>
                </c:pt>
                <c:pt idx="17">
                  <c:v>133746.86394274572</c:v>
                </c:pt>
                <c:pt idx="18">
                  <c:v>133573</c:v>
                </c:pt>
                <c:pt idx="19">
                  <c:v>133573</c:v>
                </c:pt>
                <c:pt idx="20">
                  <c:v>134595.72068426415</c:v>
                </c:pt>
                <c:pt idx="21">
                  <c:v>134403.45322687295</c:v>
                </c:pt>
                <c:pt idx="22" formatCode="0.0000">
                  <c:v>134431.29111151685</c:v>
                </c:pt>
                <c:pt idx="23" formatCode="0.0000">
                  <c:v>134628.86576352219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Sheet1!$F$1:$F$24</c:f>
              <c:numCache>
                <c:formatCode>0.000</c:formatCode>
                <c:ptCount val="24"/>
                <c:pt idx="0">
                  <c:v>133661.93848123937</c:v>
                </c:pt>
                <c:pt idx="1">
                  <c:v>0.2766499787394423</c:v>
                </c:pt>
                <c:pt idx="2">
                  <c:v>133828.07680622872</c:v>
                </c:pt>
                <c:pt idx="3">
                  <c:v>0.57695813138707308</c:v>
                </c:pt>
                <c:pt idx="4">
                  <c:v>0.11065522739089106</c:v>
                </c:pt>
                <c:pt idx="5">
                  <c:v>0.23077331693486208</c:v>
                </c:pt>
                <c:pt idx="6">
                  <c:v>0.57695813138707308</c:v>
                </c:pt>
                <c:pt idx="7">
                  <c:v>133994.32578644549</c:v>
                </c:pt>
                <c:pt idx="8">
                  <c:v>133994.09501312856</c:v>
                </c:pt>
                <c:pt idx="9">
                  <c:v>133662.163484975</c:v>
                </c:pt>
                <c:pt idx="10">
                  <c:v>133661.93271165807</c:v>
                </c:pt>
                <c:pt idx="11">
                  <c:v>1</c:v>
                </c:pt>
                <c:pt idx="12">
                  <c:v>134152.02904091458</c:v>
                </c:pt>
                <c:pt idx="13">
                  <c:v>134475.75963054874</c:v>
                </c:pt>
                <c:pt idx="14">
                  <c:v>0.73580484973205673</c:v>
                </c:pt>
                <c:pt idx="15">
                  <c:v>2.52</c:v>
                </c:pt>
                <c:pt idx="16">
                  <c:v>133633.80849836647</c:v>
                </c:pt>
                <c:pt idx="17">
                  <c:v>133633.20587603792</c:v>
                </c:pt>
                <c:pt idx="18">
                  <c:v>134102</c:v>
                </c:pt>
                <c:pt idx="19">
                  <c:v>134102</c:v>
                </c:pt>
                <c:pt idx="20">
                  <c:v>134369.56100556254</c:v>
                </c:pt>
                <c:pt idx="21">
                  <c:v>133851.63952620741</c:v>
                </c:pt>
                <c:pt idx="22" formatCode="0.0000">
                  <c:v>134530.99141857104</c:v>
                </c:pt>
                <c:pt idx="23" formatCode="0.0000">
                  <c:v>133573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Sheet1!$G$1:$G$24</c:f>
              <c:numCache>
                <c:formatCode>0.0000</c:formatCode>
                <c:ptCount val="24"/>
                <c:pt idx="0" formatCode="0.00">
                  <c:v>133710.25526041666</c:v>
                </c:pt>
                <c:pt idx="1">
                  <c:v>133688.31496015115</c:v>
                </c:pt>
                <c:pt idx="2">
                  <c:v>133688.07638669925</c:v>
                </c:pt>
                <c:pt idx="4" formatCode="0">
                  <c:v>131962.97627770127</c:v>
                </c:pt>
                <c:pt idx="5" formatCode="0">
                  <c:v>132906.86678883381</c:v>
                </c:pt>
                <c:pt idx="6" formatCode="0">
                  <c:v>134115.13749728043</c:v>
                </c:pt>
                <c:pt idx="7" formatCode="0">
                  <c:v>134048.93713362399</c:v>
                </c:pt>
                <c:pt idx="8" formatCode="0">
                  <c:v>133596.15581918313</c:v>
                </c:pt>
                <c:pt idx="9" formatCode="0">
                  <c:v>133897.89657148201</c:v>
                </c:pt>
                <c:pt idx="10" formatCode="0">
                  <c:v>133897.89657148201</c:v>
                </c:pt>
                <c:pt idx="11" formatCode="0">
                  <c:v>1.0022586035537375</c:v>
                </c:pt>
                <c:pt idx="12" formatCode="0">
                  <c:v>134048.93713362399</c:v>
                </c:pt>
                <c:pt idx="13" formatCode="0.00000">
                  <c:v>64.240592682219727</c:v>
                </c:pt>
                <c:pt idx="14" formatCode="0.00000">
                  <c:v>2.1563885217669842E-2</c:v>
                </c:pt>
                <c:pt idx="15">
                  <c:v>133746.84807593582</c:v>
                </c:pt>
                <c:pt idx="16">
                  <c:v>134058.71166162076</c:v>
                </c:pt>
                <c:pt idx="17">
                  <c:v>133749.38394274571</c:v>
                </c:pt>
                <c:pt idx="18">
                  <c:v>134102</c:v>
                </c:pt>
                <c:pt idx="19">
                  <c:v>133746.85600934006</c:v>
                </c:pt>
                <c:pt idx="20">
                  <c:v>134708.99085020338</c:v>
                </c:pt>
                <c:pt idx="21">
                  <c:v>134529.14952894422</c:v>
                </c:pt>
                <c:pt idx="22">
                  <c:v>134108.5382848382</c:v>
                </c:pt>
                <c:pt idx="23">
                  <c:v>134102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Sheet1!$H$1:$H$24</c:f>
              <c:numCache>
                <c:formatCode>0.000</c:formatCode>
                <c:ptCount val="24"/>
                <c:pt idx="0" formatCode="0.00">
                  <c:v>133666.05550069088</c:v>
                </c:pt>
                <c:pt idx="1">
                  <c:v>0.19975972577231005</c:v>
                </c:pt>
                <c:pt idx="2" formatCode="0.0000">
                  <c:v>133688.15538055377</c:v>
                </c:pt>
                <c:pt idx="3">
                  <c:v>0.55338583386765094</c:v>
                </c:pt>
                <c:pt idx="4" formatCode="0.0000000">
                  <c:v>8.6119601209841537E-2</c:v>
                </c:pt>
                <c:pt idx="5" formatCode="0.0000">
                  <c:v>0.23857345189880014</c:v>
                </c:pt>
                <c:pt idx="6" formatCode="0.0000">
                  <c:v>0.55338583386765094</c:v>
                </c:pt>
                <c:pt idx="7" formatCode="0.00">
                  <c:v>133710.34138001787</c:v>
                </c:pt>
                <c:pt idx="8" formatCode="0.00">
                  <c:v>133710.10280656596</c:v>
                </c:pt>
                <c:pt idx="9" formatCode="0.00">
                  <c:v>133666.28854028444</c:v>
                </c:pt>
                <c:pt idx="10" formatCode="0.00">
                  <c:v>133666.04996683254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133746.8956763712</c:v>
                </c:pt>
                <c:pt idx="15" formatCode="0.0000">
                  <c:v>133746.87187615139</c:v>
                </c:pt>
                <c:pt idx="16" formatCode="0.0000">
                  <c:v>133746.85600934006</c:v>
                </c:pt>
                <c:pt idx="17" formatCode="0.0000">
                  <c:v>133746.87980955705</c:v>
                </c:pt>
                <c:pt idx="18" formatCode="0.0000">
                  <c:v>133661.93848123937</c:v>
                </c:pt>
                <c:pt idx="19" formatCode="0.0000">
                  <c:v>134048.93713362399</c:v>
                </c:pt>
                <c:pt idx="20" formatCode="0.0000">
                  <c:v>134539.13322295071</c:v>
                </c:pt>
                <c:pt idx="21" formatCode="0.0000">
                  <c:v>133889.10336632971</c:v>
                </c:pt>
                <c:pt idx="22" formatCode="0.0000">
                  <c:v>134144.95578923108</c:v>
                </c:pt>
                <c:pt idx="23" formatCode="0.0000">
                  <c:v>134431.29111151685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71968"/>
        <c:axId val="125190144"/>
      </c:barChart>
      <c:catAx>
        <c:axId val="1251719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190144"/>
        <c:crosses val="autoZero"/>
        <c:auto val="1"/>
        <c:lblAlgn val="ctr"/>
        <c:lblOffset val="100"/>
        <c:noMultiLvlLbl val="0"/>
      </c:catAx>
      <c:valAx>
        <c:axId val="12519014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17196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134102.40584749999</c:v>
                </c:pt>
                <c:pt idx="1">
                  <c:v>134102.10146187499</c:v>
                </c:pt>
                <c:pt idx="2">
                  <c:v>133573.29688562499</c:v>
                </c:pt>
                <c:pt idx="3">
                  <c:v>133572.99249999999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609472"/>
        <c:axId val="125611008"/>
      </c:scatterChart>
      <c:valAx>
        <c:axId val="1256094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611008"/>
        <c:crosses val="autoZero"/>
        <c:crossBetween val="midCat"/>
      </c:valAx>
      <c:valAx>
        <c:axId val="12561100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60947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133994.32578644549</c:v>
                </c:pt>
                <c:pt idx="1">
                  <c:v>133994.09501312856</c:v>
                </c:pt>
                <c:pt idx="2">
                  <c:v>133662.163484975</c:v>
                </c:pt>
                <c:pt idx="3">
                  <c:v>133661.93271165807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622912"/>
        <c:axId val="116597120"/>
      </c:scatterChart>
      <c:valAx>
        <c:axId val="1256229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16597120"/>
        <c:crosses val="autoZero"/>
        <c:crossBetween val="midCat"/>
      </c:valAx>
      <c:valAx>
        <c:axId val="11659712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62291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133710.34138001787</c:v>
                </c:pt>
                <c:pt idx="1">
                  <c:v>133710.10280656596</c:v>
                </c:pt>
                <c:pt idx="2">
                  <c:v>133666.28854028444</c:v>
                </c:pt>
                <c:pt idx="3">
                  <c:v>133666.04996683254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623232"/>
        <c:axId val="116624768"/>
      </c:scatterChart>
      <c:valAx>
        <c:axId val="1166232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16624768"/>
        <c:crosses val="autoZero"/>
        <c:crossBetween val="midCat"/>
      </c:valAx>
      <c:valAx>
        <c:axId val="11662476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1662323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133666.05550069088</c:v>
                </c:pt>
                <c:pt idx="1">
                  <c:v>133710.25526041666</c:v>
                </c:pt>
                <c:pt idx="2">
                  <c:v>133661.93848123937</c:v>
                </c:pt>
                <c:pt idx="3">
                  <c:v>133994.21513121811</c:v>
                </c:pt>
                <c:pt idx="4">
                  <c:v>133573</c:v>
                </c:pt>
                <c:pt idx="5">
                  <c:v>134102</c:v>
                </c:pt>
                <c:pt idx="6" formatCode="0.0000">
                  <c:v>134102</c:v>
                </c:pt>
                <c:pt idx="7" formatCode="0.0000">
                  <c:v>133661.93848123937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133666.05550069088</c:v>
                </c:pt>
                <c:pt idx="1">
                  <c:v>133710.25526041666</c:v>
                </c:pt>
                <c:pt idx="2">
                  <c:v>133661.93848123937</c:v>
                </c:pt>
                <c:pt idx="3">
                  <c:v>133994.21513121811</c:v>
                </c:pt>
                <c:pt idx="4">
                  <c:v>133573</c:v>
                </c:pt>
                <c:pt idx="5">
                  <c:v>134102</c:v>
                </c:pt>
                <c:pt idx="6" formatCode="0.0000">
                  <c:v>133746.85600934006</c:v>
                </c:pt>
                <c:pt idx="7" formatCode="0.0000">
                  <c:v>134048.93713362399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134102</c:v>
                </c:pt>
                <c:pt idx="1">
                  <c:v>134243.74138656881</c:v>
                </c:pt>
                <c:pt idx="2">
                  <c:v>134444.72195055766</c:v>
                </c:pt>
                <c:pt idx="3">
                  <c:v>134143.40132686097</c:v>
                </c:pt>
                <c:pt idx="4">
                  <c:v>134595.72068426415</c:v>
                </c:pt>
                <c:pt idx="5">
                  <c:v>134369.56100556254</c:v>
                </c:pt>
                <c:pt idx="6" formatCode="0.0000">
                  <c:v>134708.99085020338</c:v>
                </c:pt>
                <c:pt idx="7" formatCode="0.0000">
                  <c:v>134539.13322295071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23008"/>
        <c:axId val="125724544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134102</c:v>
                </c:pt>
                <c:pt idx="1">
                  <c:v>133901.53176888608</c:v>
                </c:pt>
                <c:pt idx="2">
                  <c:v>134202.38417923119</c:v>
                </c:pt>
                <c:pt idx="3">
                  <c:v>133701.36321646217</c:v>
                </c:pt>
                <c:pt idx="4">
                  <c:v>134403.45322687295</c:v>
                </c:pt>
                <c:pt idx="5">
                  <c:v>133851.63952620741</c:v>
                </c:pt>
                <c:pt idx="6" formatCode="0.0000">
                  <c:v>134529.14952894422</c:v>
                </c:pt>
                <c:pt idx="7" formatCode="0.0000">
                  <c:v>133889.10336632971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134102</c:v>
                </c:pt>
                <c:pt idx="1">
                  <c:v>133661.93848123937</c:v>
                </c:pt>
                <c:pt idx="2">
                  <c:v>134309.64287424833</c:v>
                </c:pt>
                <c:pt idx="3">
                  <c:v>133990.41998497449</c:v>
                </c:pt>
                <c:pt idx="4">
                  <c:v>134431.29111151685</c:v>
                </c:pt>
                <c:pt idx="5">
                  <c:v>134530.99141857104</c:v>
                </c:pt>
                <c:pt idx="6">
                  <c:v>134108.5382848382</c:v>
                </c:pt>
                <c:pt idx="7">
                  <c:v>134144.95578923108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133573</c:v>
                </c:pt>
                <c:pt idx="1">
                  <c:v>134102</c:v>
                </c:pt>
                <c:pt idx="2">
                  <c:v>134431.29111151685</c:v>
                </c:pt>
                <c:pt idx="3">
                  <c:v>134372.18938388344</c:v>
                </c:pt>
                <c:pt idx="4">
                  <c:v>134628.86576352219</c:v>
                </c:pt>
                <c:pt idx="5">
                  <c:v>133573</c:v>
                </c:pt>
                <c:pt idx="6">
                  <c:v>134102</c:v>
                </c:pt>
                <c:pt idx="7">
                  <c:v>134431.29111151685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27872"/>
        <c:axId val="125726080"/>
      </c:scatterChart>
      <c:valAx>
        <c:axId val="125723008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24544"/>
        <c:crosses val="autoZero"/>
        <c:crossBetween val="midCat"/>
      </c:valAx>
      <c:valAx>
        <c:axId val="12572454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23008"/>
        <c:crosses val="autoZero"/>
        <c:crossBetween val="midCat"/>
      </c:valAx>
      <c:valAx>
        <c:axId val="125726080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27872"/>
        <c:crosses val="max"/>
        <c:crossBetween val="midCat"/>
      </c:valAx>
      <c:valAx>
        <c:axId val="125727872"/>
        <c:scaling>
          <c:orientation val="minMax"/>
        </c:scaling>
        <c:delete val="1"/>
        <c:axPos val="b"/>
        <c:majorTickMark val="out"/>
        <c:minorTickMark val="none"/>
        <c:tickLblPos val="nextTo"/>
        <c:crossAx val="125726080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8161407572644"/>
          <c:y val="4.2670246067102791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133573</c:v>
                </c:pt>
                <c:pt idx="1">
                  <c:v>134102</c:v>
                </c:pt>
                <c:pt idx="2" formatCode="0.00">
                  <c:v>134411.59053563906</c:v>
                </c:pt>
                <c:pt idx="3" formatCode="0.00">
                  <c:v>133998.4104301871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601600"/>
        <c:axId val="125751296"/>
      </c:scatterChart>
      <c:valAx>
        <c:axId val="1166016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51296"/>
        <c:crosses val="autoZero"/>
        <c:crossBetween val="midCat"/>
      </c:valAx>
      <c:valAx>
        <c:axId val="12575129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1660160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134102.40584749999</c:v>
                </c:pt>
                <c:pt idx="1">
                  <c:v>134102.10146187499</c:v>
                </c:pt>
                <c:pt idx="2">
                  <c:v>133573.29688562499</c:v>
                </c:pt>
                <c:pt idx="3">
                  <c:v>133572.99249999999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58848"/>
        <c:axId val="125760640"/>
      </c:scatterChart>
      <c:valAx>
        <c:axId val="1257588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60640"/>
        <c:crosses val="autoZero"/>
        <c:crossBetween val="midCat"/>
      </c:valAx>
      <c:valAx>
        <c:axId val="12576064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7588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133994.32578644549</c:v>
                </c:pt>
                <c:pt idx="1">
                  <c:v>133994.09501312856</c:v>
                </c:pt>
                <c:pt idx="2">
                  <c:v>133662.163484975</c:v>
                </c:pt>
                <c:pt idx="3">
                  <c:v>133661.93271165807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330176"/>
        <c:axId val="125331712"/>
      </c:scatterChart>
      <c:valAx>
        <c:axId val="1253301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331712"/>
        <c:crosses val="autoZero"/>
        <c:crossBetween val="midCat"/>
      </c:valAx>
      <c:valAx>
        <c:axId val="12533171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33017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133710.34138001787</c:v>
                </c:pt>
                <c:pt idx="1">
                  <c:v>133710.10280656596</c:v>
                </c:pt>
                <c:pt idx="2">
                  <c:v>133666.28854028444</c:v>
                </c:pt>
                <c:pt idx="3">
                  <c:v>133666.04996683254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339520"/>
        <c:axId val="125341056"/>
      </c:scatterChart>
      <c:valAx>
        <c:axId val="1253395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341056"/>
        <c:crosses val="autoZero"/>
        <c:crossBetween val="midCat"/>
      </c:valAx>
      <c:valAx>
        <c:axId val="12534105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5339520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133666.05550069088</c:v>
                </c:pt>
                <c:pt idx="1">
                  <c:v>133710.25526041666</c:v>
                </c:pt>
                <c:pt idx="2">
                  <c:v>133661.93848123937</c:v>
                </c:pt>
                <c:pt idx="3">
                  <c:v>133994.21513121811</c:v>
                </c:pt>
                <c:pt idx="4">
                  <c:v>133573</c:v>
                </c:pt>
                <c:pt idx="5">
                  <c:v>134102</c:v>
                </c:pt>
                <c:pt idx="6" formatCode="0.0000">
                  <c:v>134102</c:v>
                </c:pt>
                <c:pt idx="7" formatCode="0.0000">
                  <c:v>133661.93848123937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133666.05550069088</c:v>
                </c:pt>
                <c:pt idx="1">
                  <c:v>133710.25526041666</c:v>
                </c:pt>
                <c:pt idx="2">
                  <c:v>133661.93848123937</c:v>
                </c:pt>
                <c:pt idx="3">
                  <c:v>133994.21513121811</c:v>
                </c:pt>
                <c:pt idx="4">
                  <c:v>133573</c:v>
                </c:pt>
                <c:pt idx="5">
                  <c:v>134102</c:v>
                </c:pt>
                <c:pt idx="6" formatCode="0.0000">
                  <c:v>133746.85600934006</c:v>
                </c:pt>
                <c:pt idx="7" formatCode="0.0000">
                  <c:v>134048.93713362399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134102</c:v>
                </c:pt>
                <c:pt idx="1">
                  <c:v>134243.74138656881</c:v>
                </c:pt>
                <c:pt idx="2">
                  <c:v>134444.72195055766</c:v>
                </c:pt>
                <c:pt idx="3">
                  <c:v>134143.40132686097</c:v>
                </c:pt>
                <c:pt idx="4">
                  <c:v>134595.72068426415</c:v>
                </c:pt>
                <c:pt idx="5">
                  <c:v>134369.56100556254</c:v>
                </c:pt>
                <c:pt idx="6" formatCode="0.0000">
                  <c:v>134708.99085020338</c:v>
                </c:pt>
                <c:pt idx="7" formatCode="0.0000">
                  <c:v>134539.13322295071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21024"/>
        <c:axId val="126322560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134102</c:v>
                </c:pt>
                <c:pt idx="1">
                  <c:v>133901.53176888608</c:v>
                </c:pt>
                <c:pt idx="2">
                  <c:v>134202.38417923119</c:v>
                </c:pt>
                <c:pt idx="3">
                  <c:v>133701.36321646217</c:v>
                </c:pt>
                <c:pt idx="4">
                  <c:v>134403.45322687295</c:v>
                </c:pt>
                <c:pt idx="5">
                  <c:v>133851.63952620741</c:v>
                </c:pt>
                <c:pt idx="6" formatCode="0.0000">
                  <c:v>134529.14952894422</c:v>
                </c:pt>
                <c:pt idx="7" formatCode="0.0000">
                  <c:v>133889.10336632971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134102</c:v>
                </c:pt>
                <c:pt idx="1">
                  <c:v>133661.93848123937</c:v>
                </c:pt>
                <c:pt idx="2">
                  <c:v>134309.64287424833</c:v>
                </c:pt>
                <c:pt idx="3">
                  <c:v>133990.41998497449</c:v>
                </c:pt>
                <c:pt idx="4">
                  <c:v>134431.29111151685</c:v>
                </c:pt>
                <c:pt idx="5">
                  <c:v>134530.99141857104</c:v>
                </c:pt>
                <c:pt idx="6">
                  <c:v>134108.5382848382</c:v>
                </c:pt>
                <c:pt idx="7">
                  <c:v>134144.95578923108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133573</c:v>
                </c:pt>
                <c:pt idx="1">
                  <c:v>134102</c:v>
                </c:pt>
                <c:pt idx="2">
                  <c:v>134431.29111151685</c:v>
                </c:pt>
                <c:pt idx="3">
                  <c:v>134372.18938388344</c:v>
                </c:pt>
                <c:pt idx="4">
                  <c:v>134628.86576352219</c:v>
                </c:pt>
                <c:pt idx="5">
                  <c:v>133573</c:v>
                </c:pt>
                <c:pt idx="6">
                  <c:v>134102</c:v>
                </c:pt>
                <c:pt idx="7">
                  <c:v>134431.29111151685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42272"/>
        <c:axId val="126324096"/>
      </c:scatterChart>
      <c:valAx>
        <c:axId val="126321024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6322560"/>
        <c:crosses val="autoZero"/>
        <c:crossBetween val="midCat"/>
      </c:valAx>
      <c:valAx>
        <c:axId val="12632256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6321024"/>
        <c:crosses val="autoZero"/>
        <c:crossBetween val="midCat"/>
      </c:valAx>
      <c:valAx>
        <c:axId val="126324096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6342272"/>
        <c:crosses val="max"/>
        <c:crossBetween val="midCat"/>
      </c:valAx>
      <c:valAx>
        <c:axId val="126342272"/>
        <c:scaling>
          <c:orientation val="minMax"/>
        </c:scaling>
        <c:delete val="1"/>
        <c:axPos val="b"/>
        <c:majorTickMark val="out"/>
        <c:minorTickMark val="none"/>
        <c:tickLblPos val="nextTo"/>
        <c:crossAx val="126324096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133573</c:v>
                </c:pt>
                <c:pt idx="1">
                  <c:v>134102</c:v>
                </c:pt>
                <c:pt idx="2" formatCode="0.00">
                  <c:v>134411.59053563906</c:v>
                </c:pt>
                <c:pt idx="3" formatCode="0.00">
                  <c:v>133998.4104301871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54176"/>
        <c:axId val="126355712"/>
      </c:scatterChart>
      <c:valAx>
        <c:axId val="1263541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6355712"/>
        <c:crosses val="autoZero"/>
        <c:crossBetween val="midCat"/>
      </c:valAx>
      <c:valAx>
        <c:axId val="12635571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635417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830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7</xdr:row>
      <xdr:rowOff>142875</xdr:rowOff>
    </xdr:from>
    <xdr:to>
      <xdr:col>3</xdr:col>
      <xdr:colOff>1666875</xdr:colOff>
      <xdr:row>10</xdr:row>
      <xdr:rowOff>357185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9223</xdr:colOff>
      <xdr:row>7</xdr:row>
      <xdr:rowOff>476250</xdr:rowOff>
    </xdr:from>
    <xdr:to>
      <xdr:col>6</xdr:col>
      <xdr:colOff>95250</xdr:colOff>
      <xdr:row>10</xdr:row>
      <xdr:rowOff>452437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254000</xdr:colOff>
      <xdr:row>5</xdr:row>
      <xdr:rowOff>222249</xdr:rowOff>
    </xdr:from>
    <xdr:to>
      <xdr:col>8</xdr:col>
      <xdr:colOff>635000</xdr:colOff>
      <xdr:row>10</xdr:row>
      <xdr:rowOff>674686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857250</xdr:colOff>
      <xdr:row>0</xdr:row>
      <xdr:rowOff>47624</xdr:rowOff>
    </xdr:from>
    <xdr:to>
      <xdr:col>14</xdr:col>
      <xdr:colOff>571500</xdr:colOff>
      <xdr:row>9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</xdr:colOff>
      <xdr:row>13</xdr:row>
      <xdr:rowOff>31750</xdr:rowOff>
    </xdr:from>
    <xdr:to>
      <xdr:col>3</xdr:col>
      <xdr:colOff>1873251</xdr:colOff>
      <xdr:row>26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13229</xdr:colOff>
      <xdr:row>33</xdr:row>
      <xdr:rowOff>142875</xdr:rowOff>
    </xdr:from>
    <xdr:to>
      <xdr:col>3</xdr:col>
      <xdr:colOff>1666875</xdr:colOff>
      <xdr:row>36</xdr:row>
      <xdr:rowOff>357185</xdr:rowOff>
    </xdr:to>
    <xdr:graphicFrame macro="">
      <xdr:nvGraphicFramePr>
        <xdr:cNvPr id="1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9223</xdr:colOff>
      <xdr:row>33</xdr:row>
      <xdr:rowOff>476250</xdr:rowOff>
    </xdr:from>
    <xdr:to>
      <xdr:col>6</xdr:col>
      <xdr:colOff>95250</xdr:colOff>
      <xdr:row>36</xdr:row>
      <xdr:rowOff>452437</xdr:rowOff>
    </xdr:to>
    <xdr:graphicFrame macro="">
      <xdr:nvGraphicFramePr>
        <xdr:cNvPr id="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2476500</xdr:colOff>
      <xdr:row>31</xdr:row>
      <xdr:rowOff>-1</xdr:rowOff>
    </xdr:from>
    <xdr:to>
      <xdr:col>8</xdr:col>
      <xdr:colOff>0</xdr:colOff>
      <xdr:row>36</xdr:row>
      <xdr:rowOff>452436</xdr:rowOff>
    </xdr:to>
    <xdr:graphicFrame macro="">
      <xdr:nvGraphicFramePr>
        <xdr:cNvPr id="1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857250</xdr:colOff>
      <xdr:row>26</xdr:row>
      <xdr:rowOff>47624</xdr:rowOff>
    </xdr:from>
    <xdr:to>
      <xdr:col>14</xdr:col>
      <xdr:colOff>571500</xdr:colOff>
      <xdr:row>35</xdr:row>
      <xdr:rowOff>23812</xdr:rowOff>
    </xdr:to>
    <xdr:graphicFrame macro="">
      <xdr:nvGraphicFramePr>
        <xdr:cNvPr id="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1293813</xdr:colOff>
      <xdr:row>45</xdr:row>
      <xdr:rowOff>253999</xdr:rowOff>
    </xdr:from>
    <xdr:to>
      <xdr:col>9</xdr:col>
      <xdr:colOff>1555751</xdr:colOff>
      <xdr:row>52</xdr:row>
      <xdr:rowOff>101600</xdr:rowOff>
    </xdr:to>
    <xdr:graphicFrame macro="">
      <xdr:nvGraphicFramePr>
        <xdr:cNvPr id="2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6"/>
  <sheetViews>
    <sheetView tabSelected="1" zoomScale="30" zoomScaleNormal="30" workbookViewId="0">
      <selection activeCell="F13" sqref="F13"/>
    </sheetView>
  </sheetViews>
  <sheetFormatPr defaultRowHeight="15" x14ac:dyDescent="0.25"/>
  <cols>
    <col min="1" max="1" width="56.28515625" customWidth="1"/>
    <col min="2" max="2" width="40.28515625" customWidth="1"/>
    <col min="3" max="3" width="39.7109375" customWidth="1"/>
    <col min="4" max="4" width="35" customWidth="1"/>
    <col min="5" max="5" width="37.85546875" customWidth="1"/>
    <col min="6" max="6" width="55.85546875" customWidth="1"/>
    <col min="7" max="7" width="43" customWidth="1"/>
    <col min="8" max="8" width="33.7109375" customWidth="1"/>
    <col min="9" max="9" width="35.7109375" customWidth="1"/>
    <col min="10" max="10" width="34.7109375" customWidth="1"/>
    <col min="11" max="11" width="30.7109375" customWidth="1"/>
    <col min="12" max="12" width="51.5703125" customWidth="1"/>
    <col min="13" max="13" width="30.28515625" customWidth="1"/>
    <col min="14" max="14" width="40.5703125" customWidth="1"/>
    <col min="15" max="15" width="30.28515625" customWidth="1"/>
    <col min="16" max="16" width="27.7109375" customWidth="1"/>
    <col min="17" max="17" width="38.42578125" customWidth="1"/>
    <col min="18" max="18" width="27.85546875" customWidth="1"/>
  </cols>
  <sheetData>
    <row r="1" spans="1:18" ht="47.25" thickBot="1" x14ac:dyDescent="0.75">
      <c r="A1" s="133">
        <f>(A13+A9*2)/3</f>
        <v>133998.4104301871</v>
      </c>
      <c r="B1" s="133">
        <f>(A3+A10*2)/3</f>
        <v>134411.59053563906</v>
      </c>
      <c r="C1" s="79">
        <v>134102</v>
      </c>
      <c r="D1" s="80">
        <v>133573</v>
      </c>
      <c r="E1" s="87">
        <f>(I13+K9+Q19)/3</f>
        <v>133994.21513121811</v>
      </c>
      <c r="F1" s="87">
        <f>(J13+K11+R20)/3</f>
        <v>133661.93848123937</v>
      </c>
      <c r="G1" s="59">
        <f>I16</f>
        <v>133710.25526041666</v>
      </c>
      <c r="H1" s="60">
        <f>I15</f>
        <v>133666.05550069088</v>
      </c>
      <c r="I1" s="34">
        <f>((D2+F2+H2)^0.5)*10000</f>
        <v>12150.760077097038</v>
      </c>
      <c r="J1" s="34">
        <f>INT(I1/3)</f>
        <v>4050</v>
      </c>
      <c r="K1" s="34">
        <f>(J1)/30000</f>
        <v>0.13500000000000001</v>
      </c>
      <c r="L1" s="35"/>
      <c r="M1" s="35"/>
      <c r="N1" s="35"/>
      <c r="O1" s="35"/>
      <c r="P1" s="35"/>
      <c r="Q1" s="35"/>
      <c r="R1" s="35"/>
    </row>
    <row r="2" spans="1:18" ht="60" customHeight="1" x14ac:dyDescent="0.9">
      <c r="A2" s="131">
        <f>(J4+45/360)^2/100</f>
        <v>134038.36265625001</v>
      </c>
      <c r="B2" s="88">
        <f>(A1+A3)/2</f>
        <v>134185.29990703525</v>
      </c>
      <c r="C2" s="89">
        <f>SUM((D2+F2+H2)/3)+((D7+F7+H7)/3)</f>
        <v>1.1189178899221588</v>
      </c>
      <c r="D2" s="62">
        <f>SUM(C1-D1)-D12-E9</f>
        <v>1</v>
      </c>
      <c r="E2" s="90">
        <v>2</v>
      </c>
      <c r="F2" s="61">
        <f>SUM(E1-F1)-D12-E10</f>
        <v>0.2766499787394423</v>
      </c>
      <c r="G2" s="14">
        <f>SUM(H8+H10)/2</f>
        <v>133688.31496015115</v>
      </c>
      <c r="H2" s="63">
        <f>SUM(G1-H1)-D12-E11</f>
        <v>0.19975972577231005</v>
      </c>
      <c r="I2" s="34">
        <f>SUM((D4+F4+H4)^0.5)*10000</f>
        <v>13712.563455658918</v>
      </c>
      <c r="J2" s="34">
        <f>INT(I2/3)</f>
        <v>4570</v>
      </c>
      <c r="K2" s="34">
        <f>J2/10000</f>
        <v>0.45700000000000002</v>
      </c>
      <c r="L2" s="35"/>
      <c r="M2" s="35"/>
      <c r="N2" s="35"/>
      <c r="O2" s="35"/>
      <c r="P2" s="35"/>
      <c r="Q2" s="35"/>
      <c r="R2" s="35"/>
    </row>
    <row r="3" spans="1:18" ht="54" customHeight="1" thickBot="1" x14ac:dyDescent="0.95">
      <c r="A3" s="91">
        <f>(A10+K5)/2</f>
        <v>134372.18938388344</v>
      </c>
      <c r="B3" s="91">
        <f>SUM((A10-A12)+A9)/2</f>
        <v>134112.06822224299</v>
      </c>
      <c r="C3" s="89">
        <f>SUM(D8+D10)/2</f>
        <v>133837.85136656248</v>
      </c>
      <c r="D3" s="5">
        <f>SUM(C1+D1)/2</f>
        <v>133837.5</v>
      </c>
      <c r="E3" s="5">
        <f>SUM(D9+D11)/2</f>
        <v>133837.54698093748</v>
      </c>
      <c r="F3" s="5">
        <f>SUM(E1+F1)/2</f>
        <v>133828.07680622872</v>
      </c>
      <c r="G3" s="1">
        <f>SUM(H9+H11)/2</f>
        <v>133688.07638669925</v>
      </c>
      <c r="H3" s="1">
        <f>SUM(G1+H1)/2</f>
        <v>133688.15538055377</v>
      </c>
      <c r="I3" s="34">
        <f>K2*K1</f>
        <v>6.1695000000000007E-2</v>
      </c>
      <c r="J3" s="34"/>
      <c r="K3" s="34"/>
      <c r="L3" s="35"/>
      <c r="M3" s="35"/>
      <c r="N3" s="35"/>
      <c r="O3" s="35"/>
      <c r="P3" s="35"/>
      <c r="Q3" s="35"/>
      <c r="R3" s="35"/>
    </row>
    <row r="4" spans="1:18" ht="57.75" customHeight="1" thickBot="1" x14ac:dyDescent="0.75">
      <c r="A4" s="92">
        <f>(B1+A10+B3)/3</f>
        <v>134318.31662313297</v>
      </c>
      <c r="B4" s="132">
        <f>SUM((A10+A12))</f>
        <v>134628.86576352219</v>
      </c>
      <c r="C4" s="89">
        <f>SUM(C3+E4+G2+F18)/4</f>
        <v>133746.90420961546</v>
      </c>
      <c r="D4" s="64">
        <f>SUM((((D3*0.6)-2)/-2)-D13-E12)</f>
        <v>0.75</v>
      </c>
      <c r="E4" s="90">
        <f>SUM(F10+F8)/2</f>
        <v>133828.24463571026</v>
      </c>
      <c r="F4" s="64">
        <f>SUM((((F3*0.6)-2)/-2)-D13-E13)</f>
        <v>0.57695813138707308</v>
      </c>
      <c r="G4" s="19"/>
      <c r="H4" s="64">
        <f>SUM((((H3*0.6)-2)/-2)-D13-E14)</f>
        <v>0.55338583386765094</v>
      </c>
      <c r="I4" s="34">
        <f>((A9*100))^0.5</f>
        <v>3660.470188172204</v>
      </c>
      <c r="J4" s="36">
        <f>INT(I4)+J15</f>
        <v>3661</v>
      </c>
      <c r="K4" s="34">
        <f>((J4)+45/360)^2/100</f>
        <v>134038.36265625001</v>
      </c>
      <c r="L4" s="35"/>
      <c r="M4" s="35"/>
      <c r="N4" s="35"/>
      <c r="O4" s="35"/>
      <c r="P4" s="35"/>
      <c r="Q4" s="35"/>
      <c r="R4" s="35"/>
    </row>
    <row r="5" spans="1:18" ht="93" customHeight="1" x14ac:dyDescent="0.9">
      <c r="A5" s="89">
        <f>SUM((C5-B11)/2+C11/2+A6)</f>
        <v>133746.86394274572</v>
      </c>
      <c r="B5" s="89">
        <f>SUM(C10-C11)</f>
        <v>4.6058105363044888E-2</v>
      </c>
      <c r="C5" s="89">
        <f>SUM(E3+E5+H3+F17)/4</f>
        <v>133746.88118056278</v>
      </c>
      <c r="D5" s="93">
        <f>SUM(((D4*D2)+I3)/2)</f>
        <v>0.40584750000000003</v>
      </c>
      <c r="E5" s="93">
        <f>SUM(F9+F11)/2</f>
        <v>133828.01386239333</v>
      </c>
      <c r="F5" s="93">
        <f>SUM(((F4*F2)+I3)/2)</f>
        <v>0.11065522739089106</v>
      </c>
      <c r="G5" s="138">
        <f>(F39)</f>
        <v>131962.97627770127</v>
      </c>
      <c r="H5" s="18">
        <f>SUM(((H4*H2)+I3)/2)</f>
        <v>8.6119601209841537E-2</v>
      </c>
      <c r="I5" s="34">
        <f>(A10*100)^0.5</f>
        <v>3666.4872986486243</v>
      </c>
      <c r="J5" s="34">
        <f>INT(I5)-J15</f>
        <v>3665</v>
      </c>
      <c r="K5" s="34">
        <f>(J5-45/360)^2/100</f>
        <v>134313.08765624999</v>
      </c>
      <c r="L5" s="35"/>
      <c r="M5" s="35"/>
      <c r="N5" s="35"/>
      <c r="O5" s="35"/>
      <c r="P5" s="35"/>
      <c r="Q5" s="35"/>
      <c r="R5" s="35"/>
    </row>
    <row r="6" spans="1:18" ht="82.5" customHeight="1" thickBot="1" x14ac:dyDescent="0.95">
      <c r="A6" s="89">
        <f>SUM(((A14+B11)/2)*(B9/(C4*C5)))*3.33</f>
        <v>3.3971488162328462E-5</v>
      </c>
      <c r="B6" s="89">
        <f>SUM(C10-B14)</f>
        <v>133746.66153175</v>
      </c>
      <c r="C6" s="112">
        <f>SUM(((C4-C5)-2)/2+C7)</f>
        <v>-0.98848547365923878</v>
      </c>
      <c r="D6" s="5">
        <f>SUM(D5*D4)/D2</f>
        <v>0.30438562499999999</v>
      </c>
      <c r="E6" s="107">
        <v>197.57499999999999</v>
      </c>
      <c r="F6" s="5">
        <f>SUM(F5*F4)/F2</f>
        <v>0.23077331693486208</v>
      </c>
      <c r="G6" s="108">
        <f>N10</f>
        <v>132906.86678883381</v>
      </c>
      <c r="H6" s="1">
        <f>SUM(H5*H4)/H2</f>
        <v>0.23857345189880014</v>
      </c>
      <c r="I6" s="34">
        <f>(A9+B8)/2</f>
        <v>133868.65058276863</v>
      </c>
      <c r="J6" s="37"/>
      <c r="K6" s="37"/>
      <c r="L6" s="35"/>
      <c r="M6" s="35"/>
      <c r="N6" s="35"/>
      <c r="O6" s="35"/>
      <c r="P6" s="35"/>
      <c r="Q6" s="35"/>
      <c r="R6" s="35"/>
    </row>
    <row r="7" spans="1:18" ht="57.75" customHeight="1" thickBot="1" x14ac:dyDescent="0.95">
      <c r="A7" s="109">
        <f>SUM(A9+A10+A8)/3+A11*-1</f>
        <v>134056.19166162077</v>
      </c>
      <c r="B7" s="89">
        <f>SUM(C11+B14)</f>
        <v>133747.12385843217</v>
      </c>
      <c r="C7" s="89">
        <f>SUM(E15)</f>
        <v>0</v>
      </c>
      <c r="D7" s="5">
        <f>SUM(D4)</f>
        <v>0.75</v>
      </c>
      <c r="E7" s="94">
        <v>-40081</v>
      </c>
      <c r="F7" s="5">
        <f>SUM(F4)</f>
        <v>0.57695813138707308</v>
      </c>
      <c r="G7" s="4">
        <f>SUM((C1+E1+G1+G8)/4+(D1+F1+H1+H17)/4)/2*G12</f>
        <v>134115.13749728043</v>
      </c>
      <c r="H7" s="1">
        <f>SUM(H4)</f>
        <v>0.55338583386765094</v>
      </c>
      <c r="I7" s="38">
        <f>(A10+B12)/2</f>
        <v>124645.13295250857</v>
      </c>
      <c r="J7" s="37"/>
      <c r="K7" s="39">
        <f>H13</f>
        <v>45</v>
      </c>
      <c r="L7" s="40"/>
      <c r="M7" s="40"/>
      <c r="N7" s="40"/>
      <c r="O7" s="40"/>
      <c r="P7" s="40"/>
      <c r="Q7" s="40"/>
      <c r="R7" s="40"/>
    </row>
    <row r="8" spans="1:18" ht="51.75" customHeight="1" thickBot="1" x14ac:dyDescent="0.95">
      <c r="A8" s="110">
        <f>SUM((C5-B11)/2+C11/2+A11)</f>
        <v>133746.8639189759</v>
      </c>
      <c r="B8" s="89">
        <f>SUM(C4-B11)</f>
        <v>133746.88118056278</v>
      </c>
      <c r="C8" s="89">
        <f>SUM((D6+F6+H6+M11)*C6)/4</f>
        <v>-0.20901006851057274</v>
      </c>
      <c r="D8" s="5">
        <f>SUM(C1+D5)</f>
        <v>134102.40584749999</v>
      </c>
      <c r="E8" s="95">
        <v>498</v>
      </c>
      <c r="F8" s="5">
        <f>SUM(E1+F5)</f>
        <v>133994.32578644549</v>
      </c>
      <c r="G8" s="4">
        <f>SUM(H17/G9)*G10</f>
        <v>134048.93713362399</v>
      </c>
      <c r="H8" s="3">
        <f>SUM(G1+H5)</f>
        <v>133710.34138001787</v>
      </c>
      <c r="I8" s="41">
        <f>C1^0.5</f>
        <v>366.19939923489773</v>
      </c>
      <c r="J8" s="42">
        <f>INT(I8)</f>
        <v>366</v>
      </c>
      <c r="K8" s="38">
        <f>(I8+K7/360)^2</f>
        <v>134193.56547480874</v>
      </c>
      <c r="L8" s="40"/>
      <c r="M8" s="40"/>
      <c r="N8" s="40"/>
      <c r="O8" s="40"/>
      <c r="P8" s="40"/>
      <c r="Q8" s="40"/>
      <c r="R8" s="40"/>
    </row>
    <row r="9" spans="1:18" ht="60" customHeight="1" x14ac:dyDescent="0.9">
      <c r="A9" s="134">
        <f>SUM(((A10-E6)+B7))/2</f>
        <v>133990.41998497449</v>
      </c>
      <c r="B9" s="89">
        <f>SUM(C4+C5)/2^(C8*C15)/2</f>
        <v>120732.83959467662</v>
      </c>
      <c r="C9" s="112">
        <f>SUM(C8*C6)-2/2+C12</f>
        <v>0.70660341657122339</v>
      </c>
      <c r="D9" s="5">
        <f>SUM(D8-D6)</f>
        <v>134102.10146187499</v>
      </c>
      <c r="E9" s="96">
        <v>528</v>
      </c>
      <c r="F9" s="5">
        <f>SUM(F8-F6)</f>
        <v>133994.09501312856</v>
      </c>
      <c r="G9" s="4">
        <f>SUM(G11/G12)</f>
        <v>133596.15581918313</v>
      </c>
      <c r="H9" s="3">
        <f>SUM(H8-H6)</f>
        <v>133710.10280656596</v>
      </c>
      <c r="I9" s="42">
        <f>J8</f>
        <v>366</v>
      </c>
      <c r="J9" s="38">
        <f>(I9-K7/360)^2</f>
        <v>133864.515625</v>
      </c>
      <c r="K9" s="43">
        <f>(K8+D1)/2</f>
        <v>133883.28273740437</v>
      </c>
      <c r="L9" s="40"/>
      <c r="M9" s="40"/>
      <c r="N9" s="40"/>
      <c r="O9" s="40"/>
      <c r="P9" s="40"/>
      <c r="Q9" s="40"/>
      <c r="R9" s="40"/>
    </row>
    <row r="10" spans="1:18" ht="56.25" customHeight="1" thickBot="1" x14ac:dyDescent="0.95">
      <c r="A10" s="135">
        <f>(B13+B12+B10+B7)/4</f>
        <v>134431.29111151685</v>
      </c>
      <c r="B10" s="89">
        <f>SUM(C4+C5)/2^(C8*C9)/2</f>
        <v>148163.75863970327</v>
      </c>
      <c r="C10" s="89">
        <f>SUM(C4+C5)/2*(C4/C5)</f>
        <v>133746.91572414376</v>
      </c>
      <c r="D10" s="5">
        <f>SUM(D11+D6)</f>
        <v>133573.29688562499</v>
      </c>
      <c r="E10" s="96">
        <v>332</v>
      </c>
      <c r="F10" s="5">
        <f>SUM(F11+F6)</f>
        <v>133662.163484975</v>
      </c>
      <c r="G10" s="4">
        <f>SUM(H17+G13+G11)/3</f>
        <v>133897.89657148201</v>
      </c>
      <c r="H10" s="3">
        <f>SUM(H11+H6)</f>
        <v>133666.28854028444</v>
      </c>
      <c r="I10" s="34">
        <f>(D1^0.5)</f>
        <v>365.47640142695946</v>
      </c>
      <c r="J10" s="38">
        <f>INT(I10)</f>
        <v>365</v>
      </c>
      <c r="K10" s="43">
        <f>(J10+K7/360)^2</f>
        <v>133316.265625</v>
      </c>
      <c r="L10" s="84">
        <f>SUM((((L11*0.6)-2)/-2))-E7</f>
        <v>0.34999999999854481</v>
      </c>
      <c r="M10" s="52">
        <f>SUM(((L12*L10)+I3)/2)</f>
        <v>0.2058474999992724</v>
      </c>
      <c r="N10" s="83">
        <f>(B4+B30)/2</f>
        <v>132906.86678883381</v>
      </c>
      <c r="O10" s="40"/>
      <c r="P10" s="40"/>
      <c r="Q10" s="40"/>
      <c r="R10" s="40"/>
    </row>
    <row r="11" spans="1:18" ht="62.25" thickBot="1" x14ac:dyDescent="0.95">
      <c r="A11" s="139">
        <f>SUM(((A14+B11)/2)*(B9/(C4*C5)))</f>
        <v>1.0201648096795334E-5</v>
      </c>
      <c r="B11" s="89">
        <f>SUM(C4-C5)</f>
        <v>2.3029052681522444E-2</v>
      </c>
      <c r="C11" s="89">
        <f>SUM(C5+C4)/2*(C5/C4)</f>
        <v>133746.8696660384</v>
      </c>
      <c r="D11" s="5">
        <f>SUM(D1-(D7/100))</f>
        <v>133572.99249999999</v>
      </c>
      <c r="E11" s="96">
        <v>44</v>
      </c>
      <c r="F11" s="5">
        <f>SUM(F1-(F7/100))</f>
        <v>133661.93271165807</v>
      </c>
      <c r="G11" s="4">
        <f>SUM(H17+G13)/2</f>
        <v>133897.89657148201</v>
      </c>
      <c r="H11" s="3">
        <f>SUM(H1-H7/100)</f>
        <v>133666.04996683254</v>
      </c>
      <c r="I11" s="44">
        <f>J10</f>
        <v>365</v>
      </c>
      <c r="J11" s="34">
        <f>(I11+K7/360)^2</f>
        <v>133316.265625</v>
      </c>
      <c r="K11" s="45">
        <f>(K9+K10+C1)/3</f>
        <v>133767.1827874681</v>
      </c>
      <c r="L11" s="52">
        <f>((J12+K12)/2)</f>
        <v>133605.5</v>
      </c>
      <c r="M11" s="52">
        <f>(M10*L10)/L12</f>
        <v>7.2046624999445794E-2</v>
      </c>
      <c r="N11" s="40"/>
      <c r="O11" s="40"/>
      <c r="P11" s="40"/>
      <c r="Q11" s="40"/>
      <c r="R11" s="40"/>
    </row>
    <row r="12" spans="1:18" ht="62.25" thickBot="1" x14ac:dyDescent="0.95">
      <c r="A12" s="140">
        <f>SUM((A10-C1)*0.6-E2/B2)*F12</f>
        <v>197.57465200534983</v>
      </c>
      <c r="B12" s="89">
        <f>SUM(B9+B8)/2*(B9/B8)</f>
        <v>114858.9747935003</v>
      </c>
      <c r="C12" s="97">
        <v>1.5</v>
      </c>
      <c r="D12" s="97">
        <v>0</v>
      </c>
      <c r="E12" s="98">
        <v>-40151</v>
      </c>
      <c r="F12" s="99">
        <v>1</v>
      </c>
      <c r="G12" s="4">
        <f>SUM((C1+E1+G1)/3)/((D1+F1+H1)/3)</f>
        <v>1.0022586035537375</v>
      </c>
      <c r="H12" s="81"/>
      <c r="I12" s="43">
        <f>(J11+K11+K10)/3</f>
        <v>133466.57134582268</v>
      </c>
      <c r="J12" s="82">
        <v>133855</v>
      </c>
      <c r="K12" s="82">
        <v>133356</v>
      </c>
      <c r="L12" s="86">
        <f>(J12-K12)-E8</f>
        <v>1</v>
      </c>
      <c r="M12" s="40"/>
      <c r="N12" s="40"/>
      <c r="O12" s="40"/>
      <c r="P12" s="40"/>
      <c r="Q12" s="40"/>
      <c r="R12" s="40"/>
    </row>
    <row r="13" spans="1:18" ht="59.25" customHeight="1" thickBot="1" x14ac:dyDescent="0.95">
      <c r="A13" s="91">
        <f>(K4+A9)/2</f>
        <v>134014.39132061225</v>
      </c>
      <c r="B13" s="89">
        <f>SUM(B9+B8)/2*(B8/B9)</f>
        <v>140955.30715443165</v>
      </c>
      <c r="C13" s="97">
        <v>1</v>
      </c>
      <c r="D13" s="97">
        <v>0</v>
      </c>
      <c r="E13" s="98">
        <v>-40148</v>
      </c>
      <c r="F13" s="100">
        <f>(A9*2+A1+B4)/4</f>
        <v>134152.02904091458</v>
      </c>
      <c r="G13" s="6">
        <f>SUM(H17*G12)</f>
        <v>134048.93713362399</v>
      </c>
      <c r="H13" s="68">
        <v>45</v>
      </c>
      <c r="I13" s="78">
        <v>134061</v>
      </c>
      <c r="J13" s="136">
        <v>133473</v>
      </c>
      <c r="K13" s="46" t="s">
        <v>0</v>
      </c>
      <c r="L13" s="38">
        <v>0.5</v>
      </c>
      <c r="M13" s="65">
        <f>D1</f>
        <v>133573</v>
      </c>
      <c r="N13" s="65">
        <f>C1</f>
        <v>134102</v>
      </c>
      <c r="O13" s="66">
        <f>B1</f>
        <v>134411.59053563906</v>
      </c>
      <c r="P13" s="66">
        <f>A1</f>
        <v>133998.4104301871</v>
      </c>
      <c r="Q13" s="40"/>
      <c r="R13" s="40"/>
    </row>
    <row r="14" spans="1:18" ht="60" customHeight="1" x14ac:dyDescent="0.9">
      <c r="A14" s="89">
        <v>3</v>
      </c>
      <c r="B14" s="89">
        <f>SUM(C14+B11)/2</f>
        <v>0.25419239377227576</v>
      </c>
      <c r="C14" s="109">
        <f>SUM(C13+B11)/2*(C11/B13)</f>
        <v>0.48535573486302913</v>
      </c>
      <c r="D14" s="97">
        <v>0</v>
      </c>
      <c r="E14" s="98">
        <v>-40106</v>
      </c>
      <c r="F14" s="100">
        <f>(A10*2+B4+B1)/4</f>
        <v>134475.75963054874</v>
      </c>
      <c r="G14" s="7">
        <f>SUM(G15*G17)/H14</f>
        <v>64.240592682219727</v>
      </c>
      <c r="H14" s="29">
        <v>45</v>
      </c>
      <c r="I14" s="78">
        <v>134142</v>
      </c>
      <c r="J14" s="136">
        <v>133420</v>
      </c>
      <c r="K14" s="47" t="s">
        <v>1</v>
      </c>
      <c r="L14" s="38">
        <v>2</v>
      </c>
      <c r="M14" s="40"/>
      <c r="N14" s="40"/>
      <c r="O14" s="40"/>
      <c r="P14" s="40"/>
      <c r="Q14" s="40"/>
      <c r="R14" s="40"/>
    </row>
    <row r="15" spans="1:18" ht="63" customHeight="1" x14ac:dyDescent="0.9">
      <c r="A15" s="89">
        <f>SUM((C5-B11)+C11)/2</f>
        <v>133746.86390877425</v>
      </c>
      <c r="B15" s="89"/>
      <c r="C15" s="103">
        <f>SUM(C9*-1)</f>
        <v>-0.70660341657122339</v>
      </c>
      <c r="D15" s="101">
        <f>SUM(C8*-1+C6)/-2</f>
        <v>0.38973770257433304</v>
      </c>
      <c r="E15" s="101">
        <v>0</v>
      </c>
      <c r="F15" s="101">
        <f>SUM(D4+F4)/(F4+H4)*((D4+F4+H4)/3)</f>
        <v>0.73580484973205673</v>
      </c>
      <c r="G15" s="7">
        <f>SUM(D2+F2)/(F2+H2)*(D2+F2+H2)/3*F15/H14</f>
        <v>2.1563885217669842E-2</v>
      </c>
      <c r="H15" s="10">
        <f>SUM(H18/H17)*H16</f>
        <v>133746.8956763712</v>
      </c>
      <c r="I15" s="48">
        <f>(J14+I12+Q21)/3</f>
        <v>133666.05550069088</v>
      </c>
      <c r="J15" s="48">
        <v>1</v>
      </c>
      <c r="K15" s="48">
        <f>(B4+B1+A1+B1)/4</f>
        <v>134362.61431624685</v>
      </c>
      <c r="L15" s="49"/>
      <c r="M15" s="40"/>
      <c r="N15" s="40"/>
      <c r="O15" s="40"/>
      <c r="P15" s="40"/>
      <c r="Q15" s="40"/>
      <c r="R15" s="40"/>
    </row>
    <row r="16" spans="1:18" ht="61.5" x14ac:dyDescent="0.9">
      <c r="A16" s="109">
        <f>SUM(D1-D6)</f>
        <v>133572.695614375</v>
      </c>
      <c r="B16" s="109">
        <f>SUM(F1-F6)</f>
        <v>133661.70770792244</v>
      </c>
      <c r="C16" s="103">
        <f>SUM(H1-H6)</f>
        <v>133665.81692723898</v>
      </c>
      <c r="D16" s="102">
        <f>SUM(A18-B18)</f>
        <v>0.20087410951964557</v>
      </c>
      <c r="E16" s="102">
        <v>1.8</v>
      </c>
      <c r="F16" s="103">
        <f>SUM(E16/D2)*(D2+E16)/2</f>
        <v>2.52</v>
      </c>
      <c r="G16" s="27">
        <f>SUM(H17/H18)*H16</f>
        <v>133746.84807593582</v>
      </c>
      <c r="H16" s="27">
        <f>SUM(H17+(F15*G15))</f>
        <v>133746.87187615139</v>
      </c>
      <c r="I16" s="48">
        <f>(I14+J11+Q22)/3</f>
        <v>133710.25526041666</v>
      </c>
      <c r="J16" s="48">
        <f>(B4+B1+A1)/3</f>
        <v>134346.28890978277</v>
      </c>
      <c r="K16" s="48">
        <f>(A1+B1+B4*2)/4</f>
        <v>134416.93312321763</v>
      </c>
      <c r="L16" s="40"/>
      <c r="M16" s="40"/>
      <c r="N16" s="40"/>
      <c r="O16" s="40"/>
      <c r="P16" s="40"/>
      <c r="Q16" s="40"/>
      <c r="R16" s="40"/>
    </row>
    <row r="17" spans="1:19" ht="62.25" thickBot="1" x14ac:dyDescent="0.95">
      <c r="A17" s="109">
        <f>SUM(A16+D5)</f>
        <v>133573.10146187499</v>
      </c>
      <c r="B17" s="109">
        <f>SUM(B16+F5)</f>
        <v>133661.81836314983</v>
      </c>
      <c r="C17" s="103">
        <f>SUM(C16+H5)</f>
        <v>133665.90304684019</v>
      </c>
      <c r="D17" s="102"/>
      <c r="E17" s="103">
        <f>SUM(A7)</f>
        <v>134056.19166162077</v>
      </c>
      <c r="F17" s="103">
        <f>SUM(A18/B18)*A18</f>
        <v>133633.80849836647</v>
      </c>
      <c r="G17" s="26">
        <f>SUM(E17+F16)</f>
        <v>134058.71166162076</v>
      </c>
      <c r="H17" s="27">
        <f>SUM(((E18-F15*G15)+E18))/2</f>
        <v>133746.85600934006</v>
      </c>
      <c r="I17" s="48">
        <f>(B4+A1+B1+A1)/4</f>
        <v>134259.31928988386</v>
      </c>
      <c r="J17" s="48">
        <f>(J16+I16)/2</f>
        <v>134028.27208509971</v>
      </c>
      <c r="K17" s="48">
        <f>(K16+K15)/2</f>
        <v>134389.77371973224</v>
      </c>
      <c r="L17" s="40"/>
      <c r="M17" s="40"/>
      <c r="N17" s="40"/>
      <c r="O17" s="40"/>
      <c r="P17" s="40"/>
      <c r="Q17" s="40"/>
      <c r="R17" s="40"/>
    </row>
    <row r="18" spans="1:19" ht="62.25" thickBot="1" x14ac:dyDescent="0.95">
      <c r="A18" s="109">
        <f>SUM(A17+B17+C17)/3</f>
        <v>133633.607623955</v>
      </c>
      <c r="B18" s="109">
        <f>SUM(A16+B16+C16)/3</f>
        <v>133633.40674984548</v>
      </c>
      <c r="C18" s="102"/>
      <c r="D18" s="102">
        <f>SUM(F18+F17)/2</f>
        <v>133633.50718720219</v>
      </c>
      <c r="E18" s="103">
        <f>SUM(A5)</f>
        <v>133746.86394274572</v>
      </c>
      <c r="F18" s="104">
        <f>SUM(B18/A18)*B18</f>
        <v>133633.20587603792</v>
      </c>
      <c r="G18" s="26">
        <f>SUM(E18+F16)</f>
        <v>133749.38394274571</v>
      </c>
      <c r="H18" s="27">
        <f>SUM(E18+(F15*G15))</f>
        <v>133746.87980955705</v>
      </c>
      <c r="I18" s="48">
        <f>(A1+I17)/2</f>
        <v>134128.86486003548</v>
      </c>
      <c r="J18" s="48">
        <f>(B4+B1+B3)/3</f>
        <v>134384.17484046807</v>
      </c>
      <c r="K18" s="69">
        <v>45</v>
      </c>
      <c r="L18" s="85">
        <f>(C1+D1)/2</f>
        <v>133837.5</v>
      </c>
      <c r="M18" s="40"/>
      <c r="N18" s="40"/>
      <c r="O18" s="40"/>
      <c r="P18" s="40"/>
      <c r="Q18" s="40"/>
      <c r="R18" s="40"/>
    </row>
    <row r="19" spans="1:19" ht="61.5" x14ac:dyDescent="0.9">
      <c r="A19" s="111">
        <f>SUM(H1)</f>
        <v>133666.05550069088</v>
      </c>
      <c r="B19" s="111">
        <f>SUM(G1)</f>
        <v>133710.25526041666</v>
      </c>
      <c r="C19" s="105">
        <f>SUM(F1)</f>
        <v>133661.93848123937</v>
      </c>
      <c r="D19" s="105">
        <f>SUM(E1)</f>
        <v>133994.21513121811</v>
      </c>
      <c r="E19" s="105">
        <f>SUM(D1)</f>
        <v>133573</v>
      </c>
      <c r="F19" s="105">
        <f>SUM(C1)</f>
        <v>134102</v>
      </c>
      <c r="G19" s="50">
        <f>SUM(A23)</f>
        <v>134102</v>
      </c>
      <c r="H19" s="50">
        <f>SUM(B23)</f>
        <v>133661.93848123937</v>
      </c>
      <c r="I19" s="51">
        <f>((I13*100)^L13)</f>
        <v>3661.4341452496451</v>
      </c>
      <c r="J19" s="51">
        <f>INT(I19)+1</f>
        <v>3662</v>
      </c>
      <c r="K19" s="52">
        <f>(J19+K18/360)^L14/100</f>
        <v>134111.59515625</v>
      </c>
      <c r="L19" s="53">
        <f>INT(J19)+1</f>
        <v>3663</v>
      </c>
      <c r="M19" s="52">
        <f>(L19+K18/360)^L14/100</f>
        <v>134184.84765625</v>
      </c>
      <c r="N19" s="52">
        <f>(K19+M19)/2</f>
        <v>134148.22140625</v>
      </c>
      <c r="O19" s="52">
        <f>((O20+L18)/2*100)^L13</f>
        <v>3660.5660625697637</v>
      </c>
      <c r="P19" s="52">
        <f>INT(O19)+1</f>
        <v>3661</v>
      </c>
      <c r="Q19" s="53">
        <f>(P19+K18/360)^L14/100</f>
        <v>134038.36265625001</v>
      </c>
      <c r="R19" s="52">
        <f>INT(Q20)+1</f>
        <v>3657</v>
      </c>
      <c r="S19" s="70"/>
    </row>
    <row r="20" spans="1:19" ht="61.5" x14ac:dyDescent="0.9">
      <c r="A20" s="111">
        <f t="shared" ref="A20:F20" si="0">SUM(A19)</f>
        <v>133666.05550069088</v>
      </c>
      <c r="B20" s="111">
        <f t="shared" si="0"/>
        <v>133710.25526041666</v>
      </c>
      <c r="C20" s="105">
        <f t="shared" si="0"/>
        <v>133661.93848123937</v>
      </c>
      <c r="D20" s="105">
        <f t="shared" si="0"/>
        <v>133994.21513121811</v>
      </c>
      <c r="E20" s="105">
        <f t="shared" si="0"/>
        <v>133573</v>
      </c>
      <c r="F20" s="105">
        <f t="shared" si="0"/>
        <v>134102</v>
      </c>
      <c r="G20" s="50">
        <f>SUM(H17)</f>
        <v>133746.85600934006</v>
      </c>
      <c r="H20" s="50">
        <f>SUM(G13)</f>
        <v>134048.93713362399</v>
      </c>
      <c r="I20" s="51">
        <f>(J13*100)^L13</f>
        <v>3653.3956807331997</v>
      </c>
      <c r="J20" s="51">
        <f>INT(I20)+1</f>
        <v>3654</v>
      </c>
      <c r="K20" s="52">
        <f>(J20-K18/360)^L14/100</f>
        <v>133508.02515624999</v>
      </c>
      <c r="L20" s="54">
        <f>INT(J20)+1</f>
        <v>3655</v>
      </c>
      <c r="M20" s="52">
        <f>(L20-K18/360)^L14/100</f>
        <v>133581.11265625001</v>
      </c>
      <c r="N20" s="52">
        <f>(N19+M19)/2</f>
        <v>134166.53453125001</v>
      </c>
      <c r="O20" s="52">
        <f>(N19+N20)/2</f>
        <v>134157.37796875002</v>
      </c>
      <c r="P20" s="52">
        <f>(K20+M20)/2</f>
        <v>133544.56890625</v>
      </c>
      <c r="Q20" s="52">
        <f>((P20+L18)/2*100)^L13</f>
        <v>3656.3784603501454</v>
      </c>
      <c r="R20" s="52">
        <f>(R19+K18/360)^L14/100</f>
        <v>133745.63265625</v>
      </c>
      <c r="S20" s="70"/>
    </row>
    <row r="21" spans="1:19" ht="61.5" x14ac:dyDescent="0.9">
      <c r="A21" s="111">
        <f>SUM(C1)</f>
        <v>134102</v>
      </c>
      <c r="B21" s="111">
        <f>SUM(A10+A7)/2</f>
        <v>134243.74138656881</v>
      </c>
      <c r="C21" s="105">
        <f>SUM((A22/B22)*(B21+B21))/2</f>
        <v>134444.72195055766</v>
      </c>
      <c r="D21" s="105">
        <f>SUM(B21/C21)*(C21+B21)/2</f>
        <v>134143.40132686097</v>
      </c>
      <c r="E21" s="105">
        <f>SUM(C21/D21)*(C21+D21)/2</f>
        <v>134595.72068426415</v>
      </c>
      <c r="F21" s="105">
        <f>SUM(D21+E21)/2</f>
        <v>134369.56100556254</v>
      </c>
      <c r="G21" s="50">
        <f>SUM(E21/F21)*(F21+E21)/2</f>
        <v>134708.99085020338</v>
      </c>
      <c r="H21" s="50">
        <f>SUM(E21/G21)*(G21+E21)/2</f>
        <v>134539.13322295071</v>
      </c>
      <c r="I21" s="52">
        <f>(I14*100)^L13</f>
        <v>3662.5401021695311</v>
      </c>
      <c r="J21" s="52">
        <f>INT(I21)+1</f>
        <v>3663</v>
      </c>
      <c r="K21" s="52">
        <f>(J21+K18/360)^L14/100</f>
        <v>134184.84765625</v>
      </c>
      <c r="L21" s="52">
        <f>INT(J21)+1</f>
        <v>3664</v>
      </c>
      <c r="M21" s="52">
        <f>(L21+K18/360)^L14/100</f>
        <v>134258.12015624999</v>
      </c>
      <c r="N21" s="52">
        <f>(K21+M21)/2</f>
        <v>134221.48390624998</v>
      </c>
      <c r="O21" s="52">
        <f>((N21+L18)/2*100)^L13</f>
        <v>3661.0038507645004</v>
      </c>
      <c r="P21" s="52">
        <f>INT(O21)+1</f>
        <v>3662</v>
      </c>
      <c r="Q21" s="52">
        <f>(P21+K18/360)^L14/100</f>
        <v>134111.59515625</v>
      </c>
      <c r="R21" s="52"/>
      <c r="S21" s="70"/>
    </row>
    <row r="22" spans="1:19" ht="61.5" x14ac:dyDescent="0.9">
      <c r="A22" s="110">
        <f>SUM(A21)</f>
        <v>134102</v>
      </c>
      <c r="B22" s="110">
        <f>SUM(H16+E17)/2</f>
        <v>133901.53176888608</v>
      </c>
      <c r="C22" s="106">
        <f>SUM(A22/B22)*(A22+B22)/2</f>
        <v>134202.38417923119</v>
      </c>
      <c r="D22" s="106">
        <f>SUM(B22/C22)*(B22+A22)/2</f>
        <v>133701.36321646217</v>
      </c>
      <c r="E22" s="106">
        <f>SUM(C22/D22)*(D22+A22)/2</f>
        <v>134403.45322687295</v>
      </c>
      <c r="F22" s="106">
        <f>SUM(D22/A22)*(E22+A22)/2</f>
        <v>133851.63952620741</v>
      </c>
      <c r="G22" s="55">
        <f>SUM(E22/F22)*(A22+F22)/2</f>
        <v>134529.14952894422</v>
      </c>
      <c r="H22" s="55">
        <f>SUM(A22/G22)*(G22+A22)/2</f>
        <v>133889.10336632971</v>
      </c>
      <c r="I22" s="52">
        <f>(J14*100)^L13</f>
        <v>3652.6702561277002</v>
      </c>
      <c r="J22" s="52">
        <f>INT(I22)+1</f>
        <v>3653</v>
      </c>
      <c r="K22" s="52">
        <f>(J22+K18/360)^L14/100</f>
        <v>133453.22265625</v>
      </c>
      <c r="L22" s="52">
        <f>INT(I22)+1</f>
        <v>3653</v>
      </c>
      <c r="M22" s="52">
        <f>(L22+K18/360)^L14/100</f>
        <v>133453.22265625</v>
      </c>
      <c r="N22" s="52">
        <f>(K22+M22)/2</f>
        <v>133453.22265625</v>
      </c>
      <c r="O22" s="52">
        <f>((N22+L18)/2*100)^L13</f>
        <v>3655.7538391982166</v>
      </c>
      <c r="P22" s="52">
        <f>INT(O22)+1</f>
        <v>3656</v>
      </c>
      <c r="Q22" s="52">
        <f>(P22+K18/360)^L14/100</f>
        <v>133672.50015625</v>
      </c>
      <c r="R22" s="52"/>
      <c r="S22" s="70"/>
    </row>
    <row r="23" spans="1:19" ht="61.5" x14ac:dyDescent="0.9">
      <c r="A23" s="13">
        <f>SUM(A22)</f>
        <v>134102</v>
      </c>
      <c r="B23" s="13">
        <f>SUM(C20)</f>
        <v>133661.93848123937</v>
      </c>
      <c r="C23" s="13">
        <f>SUM(B4+A9)/2</f>
        <v>134309.64287424833</v>
      </c>
      <c r="D23" s="13">
        <f>SUM(A9)</f>
        <v>133990.41998497449</v>
      </c>
      <c r="E23" s="13">
        <f>SUM(A10)</f>
        <v>134431.29111151685</v>
      </c>
      <c r="F23" s="13">
        <f>SUM(((A23/B23)+(C23/B23))/2)*(B23+C23)/2</f>
        <v>134530.99141857104</v>
      </c>
      <c r="G23" s="13">
        <f>SUM(((D23/F23)+(E23/C23))/2*(D23+E23+F23)/3)</f>
        <v>134108.5382848382</v>
      </c>
      <c r="H23" s="13">
        <f>SUM(((G23/E23)+(E23/B23))/2*(B23+D23+G23)/3)</f>
        <v>134144.95578923108</v>
      </c>
      <c r="I23" s="67"/>
      <c r="J23" s="40"/>
      <c r="K23" s="40"/>
      <c r="L23" s="40"/>
      <c r="M23" s="40"/>
      <c r="N23" s="40"/>
      <c r="O23" s="40"/>
      <c r="P23" s="40"/>
      <c r="Q23" s="40"/>
      <c r="R23" s="40"/>
      <c r="S23" s="70"/>
    </row>
    <row r="24" spans="1:19" ht="61.5" x14ac:dyDescent="0.9">
      <c r="A24" s="13">
        <f>SUM(D1)</f>
        <v>133573</v>
      </c>
      <c r="B24" s="13">
        <f>SUM(C1)</f>
        <v>134102</v>
      </c>
      <c r="C24" s="55">
        <f>SUM(A10)</f>
        <v>134431.29111151685</v>
      </c>
      <c r="D24" s="55">
        <f>SUM(A3)</f>
        <v>134372.18938388344</v>
      </c>
      <c r="E24" s="55">
        <f>SUM(B4)</f>
        <v>134628.86576352219</v>
      </c>
      <c r="F24" s="13">
        <f>SUM(A24)</f>
        <v>133573</v>
      </c>
      <c r="G24" s="13">
        <f>SUM(B24)</f>
        <v>134102</v>
      </c>
      <c r="H24" s="13">
        <f>SUM(C24)</f>
        <v>134431.29111151685</v>
      </c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70"/>
    </row>
    <row r="25" spans="1:19" x14ac:dyDescent="0.25">
      <c r="A25" s="56">
        <f>SUM(H1)</f>
        <v>133666.05550069088</v>
      </c>
      <c r="B25" s="56">
        <f>SUM(G1)</f>
        <v>133710.25526041666</v>
      </c>
      <c r="C25" s="56">
        <f>SUM(F1)</f>
        <v>133661.93848123937</v>
      </c>
      <c r="D25" s="56">
        <f>SUM(E1)</f>
        <v>133994.21513121811</v>
      </c>
      <c r="E25" s="56">
        <f>SUM(D1)</f>
        <v>133573</v>
      </c>
      <c r="F25" s="56">
        <f>SUM(C1)</f>
        <v>134102</v>
      </c>
      <c r="G25" s="57">
        <f>SUM(A10)</f>
        <v>134431.29111151685</v>
      </c>
      <c r="H25" s="57">
        <f>SUM(A9)</f>
        <v>133990.41998497449</v>
      </c>
      <c r="I25" s="58"/>
      <c r="J25" s="58"/>
      <c r="K25" s="58"/>
      <c r="L25" s="58"/>
      <c r="M25" s="58"/>
      <c r="N25" s="58"/>
      <c r="O25" s="58"/>
      <c r="P25" s="58"/>
      <c r="Q25" s="58"/>
      <c r="R25" s="58"/>
    </row>
    <row r="26" spans="1:19" ht="15.75" thickBot="1" x14ac:dyDescent="0.3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</row>
    <row r="27" spans="1:19" ht="47.25" thickBot="1" x14ac:dyDescent="0.75">
      <c r="A27" s="122">
        <f>(A39+A35*2)/3</f>
        <v>132229.92657622343</v>
      </c>
      <c r="B27" s="123">
        <f>(A29+A36*2)/3</f>
        <v>132264.97202045319</v>
      </c>
      <c r="C27" s="79">
        <f>C1</f>
        <v>134102</v>
      </c>
      <c r="D27" s="80">
        <f>D1</f>
        <v>133573</v>
      </c>
      <c r="E27" s="59">
        <f>(I39+K35+Q45)/3</f>
        <v>133994.21513121811</v>
      </c>
      <c r="F27" s="59">
        <f>(J39+K37+R46)/3</f>
        <v>133661.93848123937</v>
      </c>
      <c r="G27" s="59">
        <f>G1</f>
        <v>133710.25526041666</v>
      </c>
      <c r="H27" s="60">
        <f>H1</f>
        <v>133666.05550069088</v>
      </c>
      <c r="I27" s="34">
        <f>((D28+F28+H28)^0.5)*10000</f>
        <v>12150.760077097038</v>
      </c>
      <c r="J27" s="34">
        <f>INT(I27/3)</f>
        <v>4050</v>
      </c>
      <c r="K27" s="34">
        <f>(J27)/30000</f>
        <v>0.13500000000000001</v>
      </c>
      <c r="L27" s="35"/>
      <c r="M27" s="35"/>
      <c r="N27" s="35"/>
      <c r="O27" s="35"/>
      <c r="P27" s="35"/>
      <c r="Q27" s="35"/>
      <c r="R27" s="35"/>
    </row>
    <row r="28" spans="1:19" ht="61.5" x14ac:dyDescent="0.9">
      <c r="A28" s="124">
        <f>(J30+45/360)^2/100</f>
        <v>132286.78265625</v>
      </c>
      <c r="B28" s="30">
        <f>(A27+A29)/2</f>
        <v>132233.62892549767</v>
      </c>
      <c r="C28" s="20">
        <f>SUM((D28+F28+H28)/3)+((D33+F33+H33)/3)</f>
        <v>1.1189178899221588</v>
      </c>
      <c r="D28" s="62">
        <f>SUM(C27-D27)-D38-E35</f>
        <v>1</v>
      </c>
      <c r="E28" s="19">
        <v>2</v>
      </c>
      <c r="F28" s="61">
        <f>SUM(E27-F27)-D38-E36</f>
        <v>0.2766499787394423</v>
      </c>
      <c r="G28" s="14">
        <f>SUM(H34+H36)/2</f>
        <v>133688.31496015115</v>
      </c>
      <c r="H28" s="63">
        <f>SUM(G27-H27)-D38-E37</f>
        <v>0.19975972577231005</v>
      </c>
      <c r="I28" s="34">
        <f>SUM((D30+F30+H30)^0.5)*10000</f>
        <v>13712.563455658918</v>
      </c>
      <c r="J28" s="34">
        <f>INT(I28/3)</f>
        <v>4570</v>
      </c>
      <c r="K28" s="34">
        <f>J28/10000</f>
        <v>0.45700000000000002</v>
      </c>
      <c r="L28" s="35"/>
      <c r="M28" s="35"/>
      <c r="N28" s="35"/>
      <c r="O28" s="35"/>
      <c r="P28" s="35"/>
      <c r="Q28" s="35"/>
      <c r="R28" s="35"/>
    </row>
    <row r="29" spans="1:19" ht="62.25" thickBot="1" x14ac:dyDescent="0.95">
      <c r="A29" s="32">
        <f>(A36+K31)/2</f>
        <v>132237.33127477192</v>
      </c>
      <c r="B29" s="31">
        <f>SUM((A36-A38)+A35)/2</f>
        <v>132795.63616633019</v>
      </c>
      <c r="C29" s="20">
        <f>SUM(D34+D36)/2</f>
        <v>133837.85136656248</v>
      </c>
      <c r="D29" s="1">
        <f>SUM(C27+D27)/2</f>
        <v>133837.5</v>
      </c>
      <c r="E29" s="1">
        <f>SUM(D35+D37)/2</f>
        <v>133837.54698093748</v>
      </c>
      <c r="F29" s="2">
        <f>SUM(E27+F27)/2</f>
        <v>133828.07680622872</v>
      </c>
      <c r="G29" s="1">
        <f>SUM(H35+H37)/2</f>
        <v>133688.07638669925</v>
      </c>
      <c r="H29" s="1">
        <f>SUM(G27+H27)/2</f>
        <v>133688.15538055377</v>
      </c>
      <c r="I29" s="34">
        <f>K28*K27</f>
        <v>6.1695000000000007E-2</v>
      </c>
      <c r="J29" s="34"/>
      <c r="K29" s="34"/>
      <c r="L29" s="35"/>
      <c r="M29" s="35"/>
      <c r="N29" s="35"/>
      <c r="O29" s="35"/>
      <c r="P29" s="35"/>
      <c r="Q29" s="35"/>
      <c r="R29" s="35"/>
    </row>
    <row r="30" spans="1:19" ht="47.25" thickBot="1" x14ac:dyDescent="0.75">
      <c r="A30" s="33">
        <f>(B27+A36+B29)/3</f>
        <v>132446.46686002574</v>
      </c>
      <c r="B30" s="125">
        <f>SUM(A36+A38)</f>
        <v>131184.8678141454</v>
      </c>
      <c r="C30" s="20">
        <f>SUM(C29+E30+G28+F44)/4</f>
        <v>133746.90420961546</v>
      </c>
      <c r="D30" s="64">
        <f>SUM((((D29*0.6)-2)/-2)-D39-E38)</f>
        <v>0.75</v>
      </c>
      <c r="E30" s="19">
        <f>SUM(F36+F34)/2</f>
        <v>133828.24463571026</v>
      </c>
      <c r="F30" s="64">
        <f>SUM((((F29*0.6)-2)/-2)-D39-E39)</f>
        <v>0.57695813138707308</v>
      </c>
      <c r="G30" s="19"/>
      <c r="H30" s="64">
        <f>SUM((((H29*0.6)-2)/-2)-D39-E40)</f>
        <v>0.55338583386765094</v>
      </c>
      <c r="I30" s="34">
        <f>((A35*100))^0.5</f>
        <v>3636.1869500923367</v>
      </c>
      <c r="J30" s="36">
        <f>INT(I30)+J41</f>
        <v>3637</v>
      </c>
      <c r="K30" s="34">
        <f>((J30)+45/360)^2/100</f>
        <v>132286.78265625</v>
      </c>
      <c r="L30" s="35"/>
      <c r="M30" s="35"/>
      <c r="N30" s="35"/>
      <c r="O30" s="35"/>
      <c r="P30" s="35"/>
      <c r="Q30" s="35"/>
      <c r="R30" s="35"/>
    </row>
    <row r="31" spans="1:19" ht="46.5" x14ac:dyDescent="0.7">
      <c r="A31" s="113">
        <f>SUM((C31-B37)/2+C37/2+A32)</f>
        <v>133747.01015531222</v>
      </c>
      <c r="B31" s="113">
        <f>SUM(C36-C37)</f>
        <v>4.6058105363044888E-2</v>
      </c>
      <c r="C31" s="113">
        <f>SUM(E29+E31+H29+F43)/4</f>
        <v>133746.88118056278</v>
      </c>
      <c r="D31" s="17">
        <f>SUM(((D30*D28)+I29)/2)</f>
        <v>0.40584750000000003</v>
      </c>
      <c r="E31" s="8">
        <f>SUM(F35+F37)/2</f>
        <v>133828.01386239333</v>
      </c>
      <c r="F31" s="17">
        <f>SUM(((F30*F28)+I29)/2)</f>
        <v>0.11065522739089106</v>
      </c>
      <c r="G31" s="9"/>
      <c r="H31" s="18">
        <f>SUM(((H30*H28)+I29)/2)</f>
        <v>8.6119601209841537E-2</v>
      </c>
      <c r="I31" s="34">
        <f>(A36*100)^0.5</f>
        <v>3637.015155224045</v>
      </c>
      <c r="J31" s="34">
        <f>INT(I31)-J41</f>
        <v>3636</v>
      </c>
      <c r="K31" s="34">
        <f>(J31-45/360)^2/100</f>
        <v>132195.87015624999</v>
      </c>
      <c r="L31" s="35"/>
      <c r="M31" s="35"/>
      <c r="N31" s="35"/>
      <c r="O31" s="35"/>
      <c r="P31" s="35"/>
      <c r="Q31" s="35"/>
      <c r="R31" s="35"/>
    </row>
    <row r="32" spans="1:19" ht="47.25" thickBot="1" x14ac:dyDescent="0.75">
      <c r="A32" s="113">
        <f>SUM(((A40+B37)/2)*(B35/(C30*C31)))*3.33</f>
        <v>0.14624653798269113</v>
      </c>
      <c r="B32" s="126">
        <f>SUM(C36-B40)</f>
        <v>133746.66153175</v>
      </c>
      <c r="C32" s="114">
        <f>SUM(((C30-C31)-2)/2+C33)</f>
        <v>-0.98848547365923878</v>
      </c>
      <c r="D32" s="4">
        <f>SUM(D31*D30)/D28</f>
        <v>0.30438562499999999</v>
      </c>
      <c r="E32" s="4"/>
      <c r="F32" s="1">
        <f>SUM(F31*F30)/F28</f>
        <v>0.23077331693486208</v>
      </c>
      <c r="G32" s="4"/>
      <c r="H32" s="1">
        <f>SUM(H31*H30)/H28</f>
        <v>0.23857345189880014</v>
      </c>
      <c r="I32" s="34">
        <f>(A35+B34)/2</f>
        <v>132982.71827039044</v>
      </c>
      <c r="J32" s="37"/>
      <c r="K32" s="37"/>
      <c r="L32" s="35"/>
      <c r="M32" s="35"/>
      <c r="N32" s="35"/>
      <c r="O32" s="35"/>
      <c r="P32" s="35"/>
      <c r="Q32" s="35"/>
      <c r="R32" s="35"/>
    </row>
    <row r="33" spans="1:18" ht="62.25" thickBot="1" x14ac:dyDescent="0.95">
      <c r="A33" s="109">
        <f>SUM(A35+A36+A34)/3+A37*-1</f>
        <v>132748.04127550923</v>
      </c>
      <c r="B33" s="89">
        <f>SUM(C37+B40)</f>
        <v>133747.12385843217</v>
      </c>
      <c r="C33" s="113">
        <f>SUM(E41)</f>
        <v>0</v>
      </c>
      <c r="D33" s="4">
        <f>SUM(D30)</f>
        <v>0.75</v>
      </c>
      <c r="E33" s="75">
        <f t="shared" ref="E33:E40" si="1">E7</f>
        <v>-40081</v>
      </c>
      <c r="F33" s="1">
        <f>SUM(F30)</f>
        <v>0.57695813138707308</v>
      </c>
      <c r="G33" s="4">
        <f>SUM((C27+E27+G27+G34)/4+(D27+F27+H27+H43)/4)/2*G38</f>
        <v>134115.17417435386</v>
      </c>
      <c r="H33" s="1">
        <f>SUM(H30)</f>
        <v>0.55338583386765094</v>
      </c>
      <c r="I33" s="38">
        <f>(A36+B38)/2</f>
        <v>123568.88359339707</v>
      </c>
      <c r="J33" s="37"/>
      <c r="K33" s="39">
        <f>H39</f>
        <v>45</v>
      </c>
      <c r="L33" s="40"/>
      <c r="M33" s="40"/>
      <c r="N33" s="40"/>
      <c r="O33" s="40"/>
      <c r="P33" s="40"/>
      <c r="Q33" s="40"/>
      <c r="R33" s="40"/>
    </row>
    <row r="34" spans="1:18" ht="61.5" x14ac:dyDescent="0.9">
      <c r="A34" s="13">
        <f>SUM((C31-B37)/2+C37/2+A37)</f>
        <v>133746.90782665354</v>
      </c>
      <c r="B34" s="113">
        <f>SUM(C30-B37)</f>
        <v>133746.88118056278</v>
      </c>
      <c r="C34" s="113">
        <f>SUM((D32+F32+H32+M37)*C32)/4</f>
        <v>-0.20901006851057274</v>
      </c>
      <c r="D34" s="5">
        <f>SUM(C27+D31)</f>
        <v>134102.40584749999</v>
      </c>
      <c r="E34" s="73">
        <f t="shared" si="1"/>
        <v>498</v>
      </c>
      <c r="F34" s="3">
        <f>SUM(E27+F31)</f>
        <v>133994.32578644549</v>
      </c>
      <c r="G34" s="4">
        <f>SUM(H43/G35)*G36</f>
        <v>134049.0836764267</v>
      </c>
      <c r="H34" s="3">
        <f>SUM(G27+H31)</f>
        <v>133710.34138001787</v>
      </c>
      <c r="I34" s="41">
        <f>C27^0.5</f>
        <v>366.19939923489773</v>
      </c>
      <c r="J34" s="42">
        <f>INT(I34)</f>
        <v>366</v>
      </c>
      <c r="K34" s="38">
        <f>(I34+K33/360)^2</f>
        <v>134193.56547480874</v>
      </c>
      <c r="L34" s="40"/>
      <c r="M34" s="40"/>
      <c r="N34" s="40"/>
      <c r="O34" s="40"/>
      <c r="P34" s="40"/>
      <c r="Q34" s="40"/>
      <c r="R34" s="40"/>
    </row>
    <row r="35" spans="1:18" ht="61.5" x14ac:dyDescent="0.9">
      <c r="A35" s="120">
        <f>SUM((B36++A42+B38+A36)/4)</f>
        <v>132218.5553602181</v>
      </c>
      <c r="B35" s="20">
        <f>SUM(C30+C31)/2^(C34*C41)/2</f>
        <v>120732.83959467662</v>
      </c>
      <c r="C35" s="115">
        <f>SUM(C34*C32)-2/2+C38</f>
        <v>0.70660341657122339</v>
      </c>
      <c r="D35" s="5">
        <f>SUM(D34-D32)</f>
        <v>134102.10146187499</v>
      </c>
      <c r="E35" s="74">
        <f t="shared" si="1"/>
        <v>528</v>
      </c>
      <c r="F35" s="3">
        <f>SUM(F34-F32)</f>
        <v>133994.09501312856</v>
      </c>
      <c r="G35" s="4">
        <f>SUM(G37/G38)</f>
        <v>133596.30186700361</v>
      </c>
      <c r="H35" s="3">
        <f>SUM(H34-H32)</f>
        <v>133710.10280656596</v>
      </c>
      <c r="I35" s="42">
        <f>J34</f>
        <v>366</v>
      </c>
      <c r="J35" s="38">
        <f>(I35-K33/360)^2</f>
        <v>133864.515625</v>
      </c>
      <c r="K35" s="43">
        <f>(K34+D27)/2</f>
        <v>133883.28273740437</v>
      </c>
      <c r="L35" s="40"/>
      <c r="M35" s="40"/>
      <c r="N35" s="40"/>
      <c r="O35" s="40"/>
      <c r="P35" s="40"/>
      <c r="Q35" s="40"/>
      <c r="R35" s="40"/>
    </row>
    <row r="36" spans="1:18" ht="61.5" x14ac:dyDescent="0.9">
      <c r="A36" s="120">
        <f>(B32+B33+B34+B35+B36+B38+B39)/7</f>
        <v>132278.79239329384</v>
      </c>
      <c r="B36" s="20">
        <f>SUM(C30+C31)/2^(C34*C35)/2</f>
        <v>148163.75863970327</v>
      </c>
      <c r="C36" s="113">
        <f>SUM(C30+C31)/2*(C30/C31)</f>
        <v>133746.91572414376</v>
      </c>
      <c r="D36" s="5">
        <f>SUM(D37+D32)</f>
        <v>133573.29688562499</v>
      </c>
      <c r="E36" s="74">
        <f t="shared" si="1"/>
        <v>332</v>
      </c>
      <c r="F36" s="3">
        <f>SUM(F37+F32)</f>
        <v>133662.163484975</v>
      </c>
      <c r="G36" s="4">
        <f>SUM(H43+G39+G37)/3</f>
        <v>133898.04294916661</v>
      </c>
      <c r="H36" s="3">
        <f>SUM(H37+H32)</f>
        <v>133666.28854028444</v>
      </c>
      <c r="I36" s="34">
        <f>(D27^0.5)</f>
        <v>365.47640142695946</v>
      </c>
      <c r="J36" s="38">
        <f>INT(I36)</f>
        <v>365</v>
      </c>
      <c r="K36" s="43">
        <f>(J36+K33/360)^2</f>
        <v>133316.265625</v>
      </c>
      <c r="L36" s="77">
        <f>SUM((((L37*0.6)-2)/-2))-E33</f>
        <v>0.34999999999854481</v>
      </c>
      <c r="M36" s="52">
        <f>SUM(((L38*L36)+I29)/2)</f>
        <v>0.2058474999992724</v>
      </c>
      <c r="N36" s="40"/>
      <c r="O36" s="40"/>
      <c r="P36" s="40"/>
      <c r="Q36" s="40"/>
      <c r="R36" s="40"/>
    </row>
    <row r="37" spans="1:18" ht="62.25" thickBot="1" x14ac:dyDescent="0.95">
      <c r="A37" s="113">
        <f>SUM(((A40+B37)/2)*(B35/(C30*C31)))</f>
        <v>4.3917879274081424E-2</v>
      </c>
      <c r="B37" s="20">
        <f>SUM(C30-C31)</f>
        <v>2.3029052681522444E-2</v>
      </c>
      <c r="C37" s="113">
        <f>SUM(C31+C30)/2*(C31/C30)</f>
        <v>133746.8696660384</v>
      </c>
      <c r="D37" s="5">
        <f>SUM(D27-(D33/100))</f>
        <v>133572.99249999999</v>
      </c>
      <c r="E37" s="74">
        <f t="shared" si="1"/>
        <v>44</v>
      </c>
      <c r="F37" s="3">
        <f>SUM(F27-(F33/100))</f>
        <v>133661.93271165807</v>
      </c>
      <c r="G37" s="4">
        <f>SUM(H43+G39)/2</f>
        <v>133898.04294916661</v>
      </c>
      <c r="H37" s="3">
        <f>SUM(H27-H33/100)</f>
        <v>133666.04996683254</v>
      </c>
      <c r="I37" s="44">
        <f>J36</f>
        <v>365</v>
      </c>
      <c r="J37" s="34">
        <f>(I37+K33/360)^2</f>
        <v>133316.265625</v>
      </c>
      <c r="K37" s="45">
        <f>(K35+K36+C27)/3</f>
        <v>133767.1827874681</v>
      </c>
      <c r="L37" s="52">
        <f>((J38+K38)/2)</f>
        <v>133605.5</v>
      </c>
      <c r="M37" s="52">
        <f>(M36*L36)/L38</f>
        <v>7.2046624999445794E-2</v>
      </c>
      <c r="N37" s="40"/>
      <c r="O37" s="40"/>
      <c r="P37" s="40"/>
      <c r="Q37" s="40"/>
      <c r="R37" s="40"/>
    </row>
    <row r="38" spans="1:18" ht="62.25" thickBot="1" x14ac:dyDescent="0.95">
      <c r="A38" s="116">
        <f>SUM((A36-C27)*0.6-E28/B28)*F38</f>
        <v>-1093.92457914844</v>
      </c>
      <c r="B38" s="126">
        <f>SUM(B35+B34)/2*(B35/B34)</f>
        <v>114858.9747935003</v>
      </c>
      <c r="C38" s="97">
        <v>1.5</v>
      </c>
      <c r="D38" s="15">
        <v>0</v>
      </c>
      <c r="E38" s="25">
        <f t="shared" si="1"/>
        <v>-40151</v>
      </c>
      <c r="F38" s="24">
        <f>F12</f>
        <v>1</v>
      </c>
      <c r="G38" s="4">
        <f>SUM((C27+E27+G27)/3)/((D27+F27+H27)/3)</f>
        <v>1.0022586035537375</v>
      </c>
      <c r="H38" s="81"/>
      <c r="I38" s="43">
        <f>(J37+K37+K36)/3</f>
        <v>133466.57134582268</v>
      </c>
      <c r="J38" s="82">
        <f>J12</f>
        <v>133855</v>
      </c>
      <c r="K38" s="82">
        <f>K12</f>
        <v>133356</v>
      </c>
      <c r="L38" s="76">
        <f>(J38-K38)-E34</f>
        <v>1</v>
      </c>
      <c r="M38" s="40"/>
      <c r="N38" s="40"/>
      <c r="O38" s="40"/>
      <c r="P38" s="40"/>
      <c r="Q38" s="40"/>
      <c r="R38" s="40"/>
    </row>
    <row r="39" spans="1:18" ht="93" thickBot="1" x14ac:dyDescent="1.4">
      <c r="A39" s="32">
        <f>(K30+A35)/2</f>
        <v>132252.66900823405</v>
      </c>
      <c r="B39" s="126">
        <f>SUM(B35+B34)/2*(B34/B35)</f>
        <v>140955.30715443165</v>
      </c>
      <c r="C39" s="117">
        <v>1</v>
      </c>
      <c r="D39" s="15">
        <v>0</v>
      </c>
      <c r="E39" s="25">
        <f t="shared" si="1"/>
        <v>-40148</v>
      </c>
      <c r="F39" s="137">
        <f>(A35*2+A27+B30)/4</f>
        <v>131962.97627770127</v>
      </c>
      <c r="G39" s="6">
        <f>SUM(H43*G38)</f>
        <v>134049.0836764267</v>
      </c>
      <c r="H39" s="68">
        <f>H13</f>
        <v>45</v>
      </c>
      <c r="I39" s="78">
        <f>I13</f>
        <v>134061</v>
      </c>
      <c r="J39" s="78">
        <f>J13</f>
        <v>133473</v>
      </c>
      <c r="K39" s="46" t="s">
        <v>0</v>
      </c>
      <c r="L39" s="38">
        <v>0.5</v>
      </c>
      <c r="M39" s="65">
        <f>D27</f>
        <v>133573</v>
      </c>
      <c r="N39" s="65">
        <f>C27</f>
        <v>134102</v>
      </c>
      <c r="O39" s="66">
        <f>B27</f>
        <v>132264.97202045319</v>
      </c>
      <c r="P39" s="66">
        <f>A27</f>
        <v>132229.92657622343</v>
      </c>
      <c r="Q39" s="40"/>
      <c r="R39" s="40"/>
    </row>
    <row r="40" spans="1:18" ht="61.5" x14ac:dyDescent="0.9">
      <c r="A40" s="113">
        <f>SUM(C30+C31)/2-B35</f>
        <v>13014.053100412479</v>
      </c>
      <c r="B40" s="20">
        <f>SUM(C40+B37)/2</f>
        <v>0.25419239377227576</v>
      </c>
      <c r="C40" s="118">
        <f>SUM(C39+B37)/2*(C37/B39)</f>
        <v>0.48535573486302913</v>
      </c>
      <c r="D40" s="15">
        <v>0</v>
      </c>
      <c r="E40" s="25">
        <f t="shared" si="1"/>
        <v>-40106</v>
      </c>
      <c r="F40" s="72">
        <f>(A36*2+B30+B27)/4</f>
        <v>132001.85615529655</v>
      </c>
      <c r="G40" s="7">
        <f>SUM(G41*G43)/H40</f>
        <v>63.613730353918399</v>
      </c>
      <c r="H40" s="29">
        <v>45</v>
      </c>
      <c r="I40" s="78">
        <f>I14</f>
        <v>134142</v>
      </c>
      <c r="J40" s="78">
        <f>J14</f>
        <v>133420</v>
      </c>
      <c r="K40" s="47" t="s">
        <v>1</v>
      </c>
      <c r="L40" s="38">
        <v>2</v>
      </c>
      <c r="M40" s="40"/>
      <c r="N40" s="40"/>
      <c r="O40" s="40"/>
      <c r="P40" s="40"/>
      <c r="Q40" s="40"/>
      <c r="R40" s="40"/>
    </row>
    <row r="41" spans="1:18" ht="61.5" x14ac:dyDescent="0.9">
      <c r="A41" s="113">
        <f>SUM((C31-B37)+C37)/2</f>
        <v>133746.86390877425</v>
      </c>
      <c r="B41" s="113"/>
      <c r="C41" s="119">
        <f>SUM(C35*-1)</f>
        <v>-0.70660341657122339</v>
      </c>
      <c r="D41" s="22">
        <f>SUM(C34*-1+C32)/-2</f>
        <v>0.38973770257433304</v>
      </c>
      <c r="E41" s="23">
        <v>0</v>
      </c>
      <c r="F41" s="16">
        <f>SUM(D30+F30)/(F30+H30)*((D30+F30+H30)/3)</f>
        <v>0.73580484973205673</v>
      </c>
      <c r="G41" s="7">
        <f>SUM(D28+F28)/(F28+H28)*(D28+F28+H28)/3*F41/H40</f>
        <v>2.1563885217669842E-2</v>
      </c>
      <c r="H41" s="10">
        <f>SUM(H44/H43)*H42</f>
        <v>133747.0418889377</v>
      </c>
      <c r="I41" s="48">
        <f>(J40+I38+Q47)/3</f>
        <v>133666.05550069088</v>
      </c>
      <c r="J41" s="48">
        <v>1</v>
      </c>
      <c r="K41" s="48">
        <f>(B30+B27+A27+B27)/4</f>
        <v>131986.18460781881</v>
      </c>
      <c r="L41" s="49"/>
      <c r="M41" s="40"/>
      <c r="N41" s="40"/>
      <c r="O41" s="40"/>
      <c r="P41" s="40"/>
      <c r="Q41" s="40"/>
      <c r="R41" s="40"/>
    </row>
    <row r="42" spans="1:18" ht="61.5" x14ac:dyDescent="0.9">
      <c r="A42" s="127">
        <f>SUM(D27-D32)</f>
        <v>133572.695614375</v>
      </c>
      <c r="B42" s="127">
        <f>SUM(F27-F32)</f>
        <v>133661.70770792244</v>
      </c>
      <c r="C42" s="26">
        <f>SUM(H27-H32)</f>
        <v>133665.81692723898</v>
      </c>
      <c r="D42" s="21">
        <f>SUM(A44-B44)</f>
        <v>0.20087410951964557</v>
      </c>
      <c r="E42" s="21">
        <v>1.8</v>
      </c>
      <c r="F42" s="26">
        <f>SUM(E42/D28)*(D28+E42)/2</f>
        <v>2.52</v>
      </c>
      <c r="G42" s="27">
        <f>SUM(H43/H44)*H42</f>
        <v>133746.99428850232</v>
      </c>
      <c r="H42" s="27">
        <f>SUM(H43+(F41*G41))</f>
        <v>133747.01808871789</v>
      </c>
      <c r="I42" s="48">
        <f>(I40+J37+Q48)/3</f>
        <v>133710.25526041666</v>
      </c>
      <c r="J42" s="48">
        <f>(B30+B27+A27)/3</f>
        <v>131893.25547027402</v>
      </c>
      <c r="K42" s="48">
        <f>(A27+B27+B30*2)/4</f>
        <v>131716.15855624186</v>
      </c>
      <c r="L42" s="40"/>
      <c r="M42" s="40"/>
      <c r="N42" s="40"/>
      <c r="O42" s="40"/>
      <c r="P42" s="40"/>
      <c r="Q42" s="40"/>
      <c r="R42" s="40"/>
    </row>
    <row r="43" spans="1:18" ht="62.25" thickBot="1" x14ac:dyDescent="0.95">
      <c r="A43" s="127">
        <f>SUM(A42+D31)</f>
        <v>133573.10146187499</v>
      </c>
      <c r="B43" s="127">
        <f>SUM(B42+F31)</f>
        <v>133661.81836314983</v>
      </c>
      <c r="C43" s="26">
        <f>SUM(C42+H31)</f>
        <v>133665.90304684019</v>
      </c>
      <c r="D43" s="21"/>
      <c r="E43" s="26">
        <f>SUM(A33)</f>
        <v>132748.04127550923</v>
      </c>
      <c r="F43" s="26">
        <f>SUM(A44/B44)*A44</f>
        <v>133633.80849836647</v>
      </c>
      <c r="G43" s="26">
        <f>SUM(E43+F42)</f>
        <v>132750.56127550922</v>
      </c>
      <c r="H43" s="27">
        <f>SUM(((E44-F41*G41)+E44))/2</f>
        <v>133747.00222190656</v>
      </c>
      <c r="I43" s="48">
        <f>(B30+A27+B27+A27)/4</f>
        <v>131977.42324676138</v>
      </c>
      <c r="J43" s="48">
        <f>(J42+I42)/2</f>
        <v>132801.75536534534</v>
      </c>
      <c r="K43" s="48">
        <f>(K42+K41)/2</f>
        <v>131851.17158203034</v>
      </c>
      <c r="L43" s="40"/>
      <c r="M43" s="40"/>
      <c r="N43" s="40"/>
      <c r="O43" s="40"/>
      <c r="P43" s="40"/>
      <c r="Q43" s="40"/>
      <c r="R43" s="40"/>
    </row>
    <row r="44" spans="1:18" ht="62.25" thickBot="1" x14ac:dyDescent="0.95">
      <c r="A44" s="127">
        <f>SUM(A43+B43+C43)/3</f>
        <v>133633.607623955</v>
      </c>
      <c r="B44" s="127">
        <f>SUM(A42+B42+C42)/3</f>
        <v>133633.40674984548</v>
      </c>
      <c r="C44" s="21"/>
      <c r="D44" s="21">
        <f>SUM(F44+F43)/2</f>
        <v>133633.50718720219</v>
      </c>
      <c r="E44" s="26">
        <f>SUM(A31)</f>
        <v>133747.01015531222</v>
      </c>
      <c r="F44" s="28">
        <f>SUM(B44/A44)*B44</f>
        <v>133633.20587603792</v>
      </c>
      <c r="G44" s="26">
        <f>SUM(E44+F42)</f>
        <v>133749.53015531221</v>
      </c>
      <c r="H44" s="27">
        <f>SUM(E44+(F41*G41))</f>
        <v>133747.02602212355</v>
      </c>
      <c r="I44" s="48">
        <f>(A27+I43)/2</f>
        <v>132103.67491149239</v>
      </c>
      <c r="J44" s="48">
        <f>(B30+B27+B29)/3</f>
        <v>132081.82533364292</v>
      </c>
      <c r="K44" s="69">
        <f>K18</f>
        <v>45</v>
      </c>
      <c r="L44" s="71">
        <f>(C27+D27)/2</f>
        <v>133837.5</v>
      </c>
      <c r="M44" s="40"/>
      <c r="N44" s="40"/>
      <c r="O44" s="40"/>
      <c r="P44" s="40"/>
      <c r="Q44" s="40"/>
      <c r="R44" s="40"/>
    </row>
    <row r="45" spans="1:18" ht="61.5" x14ac:dyDescent="0.9">
      <c r="A45" s="128">
        <f>SUM(H27)</f>
        <v>133666.05550069088</v>
      </c>
      <c r="B45" s="128">
        <f>SUM(G27)</f>
        <v>133710.25526041666</v>
      </c>
      <c r="C45" s="50">
        <f>SUM(F27)</f>
        <v>133661.93848123937</v>
      </c>
      <c r="D45" s="50">
        <f>SUM(E27)</f>
        <v>133994.21513121811</v>
      </c>
      <c r="E45" s="50">
        <f>SUM(D27)</f>
        <v>133573</v>
      </c>
      <c r="F45" s="50">
        <f>SUM(C27)</f>
        <v>134102</v>
      </c>
      <c r="G45" s="50">
        <f>SUM(A49)</f>
        <v>134102</v>
      </c>
      <c r="H45" s="50">
        <f>SUM(B49)</f>
        <v>133661.93848123937</v>
      </c>
      <c r="I45" s="51">
        <f>((I39*100)^L39)</f>
        <v>3661.4341452496451</v>
      </c>
      <c r="J45" s="51">
        <f>INT(I45)+1</f>
        <v>3662</v>
      </c>
      <c r="K45" s="52">
        <f>(J45+K44/360)^L40/100</f>
        <v>134111.59515625</v>
      </c>
      <c r="L45" s="53">
        <f>INT(J45)+1</f>
        <v>3663</v>
      </c>
      <c r="M45" s="52">
        <f>(L45+K44/360)^L40/100</f>
        <v>134184.84765625</v>
      </c>
      <c r="N45" s="52">
        <f>(K45+M45)/2</f>
        <v>134148.22140625</v>
      </c>
      <c r="O45" s="52">
        <f>((O46+L44)/2*100)^L39</f>
        <v>3660.5660625697637</v>
      </c>
      <c r="P45" s="52">
        <f>INT(O45)+1</f>
        <v>3661</v>
      </c>
      <c r="Q45" s="53">
        <f>(P45+K44/360)^L40/100</f>
        <v>134038.36265625001</v>
      </c>
      <c r="R45" s="52">
        <f>INT(Q46)+1</f>
        <v>3657</v>
      </c>
    </row>
    <row r="46" spans="1:18" ht="61.5" x14ac:dyDescent="0.9">
      <c r="A46" s="128">
        <f t="shared" ref="A46:F46" si="2">SUM(A45)</f>
        <v>133666.05550069088</v>
      </c>
      <c r="B46" s="128">
        <f t="shared" si="2"/>
        <v>133710.25526041666</v>
      </c>
      <c r="C46" s="50">
        <f t="shared" si="2"/>
        <v>133661.93848123937</v>
      </c>
      <c r="D46" s="50">
        <f t="shared" si="2"/>
        <v>133994.21513121811</v>
      </c>
      <c r="E46" s="50">
        <f t="shared" si="2"/>
        <v>133573</v>
      </c>
      <c r="F46" s="50">
        <f t="shared" si="2"/>
        <v>134102</v>
      </c>
      <c r="G46" s="50">
        <f>SUM(H43)</f>
        <v>133747.00222190656</v>
      </c>
      <c r="H46" s="50">
        <f>SUM(G39)</f>
        <v>134049.0836764267</v>
      </c>
      <c r="I46" s="51">
        <f>(J39*100)^L39</f>
        <v>3653.3956807331997</v>
      </c>
      <c r="J46" s="51">
        <f>INT(I46)+1</f>
        <v>3654</v>
      </c>
      <c r="K46" s="52">
        <f>(J46-K44/360)^L40/100</f>
        <v>133508.02515624999</v>
      </c>
      <c r="L46" s="54">
        <f>INT(J46)+1</f>
        <v>3655</v>
      </c>
      <c r="M46" s="52">
        <f>(L46-K44/360)^L40/100</f>
        <v>133581.11265625001</v>
      </c>
      <c r="N46" s="52">
        <f>(N45+M45)/2</f>
        <v>134166.53453125001</v>
      </c>
      <c r="O46" s="52">
        <f>(N45+N46)/2</f>
        <v>134157.37796875002</v>
      </c>
      <c r="P46" s="52">
        <f>(K46+M46)/2</f>
        <v>133544.56890625</v>
      </c>
      <c r="Q46" s="52">
        <f>((P46+L44)/2*100)^L39</f>
        <v>3656.3784603501454</v>
      </c>
      <c r="R46" s="52">
        <f>(R45+K44/360)^L40/100</f>
        <v>133745.63265625</v>
      </c>
    </row>
    <row r="47" spans="1:18" ht="61.5" x14ac:dyDescent="0.9">
      <c r="A47" s="128">
        <f>SUM(C27)</f>
        <v>134102</v>
      </c>
      <c r="B47" s="128">
        <f>SUM(A36+A33)/2</f>
        <v>132513.41683440155</v>
      </c>
      <c r="C47" s="50">
        <f>SUM((A48/B48)*(B47+B47))/2</f>
        <v>133363.1795405233</v>
      </c>
      <c r="D47" s="50">
        <f>SUM(B47/C47)*(C47+B47)/2</f>
        <v>132091.24273779333</v>
      </c>
      <c r="E47" s="50">
        <f>SUM(C47/D47)*(C47+D47)/2</f>
        <v>134005.27182715351</v>
      </c>
      <c r="F47" s="50">
        <f>SUM(D47+E47)/2</f>
        <v>133048.25728247344</v>
      </c>
      <c r="G47" s="50">
        <f>SUM(E47/F47)*(F47+E47)/2</f>
        <v>134487.22099665715</v>
      </c>
      <c r="H47" s="50">
        <f>SUM(E47/G47)*(G47+E47)/2</f>
        <v>133765.16080029315</v>
      </c>
      <c r="I47" s="52">
        <f>(I40*100)^L39</f>
        <v>3662.5401021695311</v>
      </c>
      <c r="J47" s="52">
        <f>INT(I47)+1</f>
        <v>3663</v>
      </c>
      <c r="K47" s="52">
        <f>(J47+K44/360)^L40/100</f>
        <v>134184.84765625</v>
      </c>
      <c r="L47" s="52">
        <f>INT(J47)+1</f>
        <v>3664</v>
      </c>
      <c r="M47" s="52">
        <f>(L47+K44/360)^L40/100</f>
        <v>134258.12015624999</v>
      </c>
      <c r="N47" s="52">
        <f>(K47+M47)/2</f>
        <v>134221.48390624998</v>
      </c>
      <c r="O47" s="52">
        <f>((N47+L44)/2*100)^L39</f>
        <v>3661.0038507645004</v>
      </c>
      <c r="P47" s="52">
        <f>INT(O47)+1</f>
        <v>3662</v>
      </c>
      <c r="Q47" s="52">
        <f>(P47+K44/360)^L40/100</f>
        <v>134111.59515625</v>
      </c>
      <c r="R47" s="52"/>
    </row>
    <row r="48" spans="1:18" ht="61.5" x14ac:dyDescent="0.9">
      <c r="A48" s="13">
        <f>SUM(A47)</f>
        <v>134102</v>
      </c>
      <c r="B48" s="13">
        <f>SUM(H42+E43)/2</f>
        <v>133247.52968211356</v>
      </c>
      <c r="C48" s="55">
        <f>SUM(A48/B48)*(A48+B48)/2</f>
        <v>134531.97487023805</v>
      </c>
      <c r="D48" s="55">
        <f>SUM(B48/C48)*(B48+A48)/2</f>
        <v>132398.50387306476</v>
      </c>
      <c r="E48" s="55">
        <f>SUM(C48/D48)*(D48+A48)/2</f>
        <v>135397.44801168729</v>
      </c>
      <c r="F48" s="55">
        <f>SUM(D48/A48)*(E48+A48)/2</f>
        <v>133037.99984848918</v>
      </c>
      <c r="G48" s="55">
        <f>SUM(E48/F48)*(A48+F48)/2</f>
        <v>135938.88318570779</v>
      </c>
      <c r="H48" s="55">
        <f>SUM(A48/G48)*(G48+A48)/2</f>
        <v>133195.96891015623</v>
      </c>
      <c r="I48" s="52">
        <f>(J40*100)^L39</f>
        <v>3652.6702561277002</v>
      </c>
      <c r="J48" s="52">
        <f>INT(I48)+1</f>
        <v>3653</v>
      </c>
      <c r="K48" s="52">
        <f>(J48+K44/360)^L40/100</f>
        <v>133453.22265625</v>
      </c>
      <c r="L48" s="52">
        <f>INT(I48)+1</f>
        <v>3653</v>
      </c>
      <c r="M48" s="52">
        <f>(L48+K44/360)^L40/100</f>
        <v>133453.22265625</v>
      </c>
      <c r="N48" s="52">
        <f>(K48+M48)/2</f>
        <v>133453.22265625</v>
      </c>
      <c r="O48" s="52">
        <f>((N48+L44)/2*100)^L39</f>
        <v>3655.7538391982166</v>
      </c>
      <c r="P48" s="52">
        <f>INT(O48)+1</f>
        <v>3656</v>
      </c>
      <c r="Q48" s="52">
        <f>(P48+K44/360)^L40/100</f>
        <v>133672.50015625</v>
      </c>
      <c r="R48" s="52"/>
    </row>
    <row r="49" spans="1:18" ht="61.5" x14ac:dyDescent="0.9">
      <c r="A49" s="13">
        <f>SUM(A48)</f>
        <v>134102</v>
      </c>
      <c r="B49" s="13">
        <f>SUM(C46)</f>
        <v>133661.93848123937</v>
      </c>
      <c r="C49" s="13">
        <f>SUM(B30+A35)/2</f>
        <v>131701.71158718175</v>
      </c>
      <c r="D49" s="13">
        <f>SUM(A35)</f>
        <v>132218.5553602181</v>
      </c>
      <c r="E49" s="13">
        <f>SUM(A36)</f>
        <v>132278.79239329384</v>
      </c>
      <c r="F49" s="13">
        <f>SUM(((A49/B49)+(C49/B49))/2)*(B49+C49)/2</f>
        <v>131927.31586488363</v>
      </c>
      <c r="G49" s="13">
        <f>SUM(((D49/F49)+(E49/C49))/2*(D49+E49+F49)/3)</f>
        <v>132576.91479983789</v>
      </c>
      <c r="H49" s="13">
        <f>SUM(((G49/E49)+(E49/B49))/2*(B49+D49+G49)/3)</f>
        <v>132281.59396898796</v>
      </c>
      <c r="I49" s="67"/>
      <c r="J49" s="40"/>
      <c r="K49" s="40"/>
      <c r="L49" s="40"/>
      <c r="M49" s="40"/>
      <c r="N49" s="40"/>
      <c r="O49" s="40"/>
      <c r="P49" s="40"/>
      <c r="Q49" s="40"/>
      <c r="R49" s="40"/>
    </row>
    <row r="50" spans="1:18" ht="61.5" x14ac:dyDescent="0.9">
      <c r="A50" s="13">
        <f>SUM(D27)</f>
        <v>133573</v>
      </c>
      <c r="B50" s="13">
        <f>SUM(C27)</f>
        <v>134102</v>
      </c>
      <c r="C50" s="55">
        <f>SUM(A36)</f>
        <v>132278.79239329384</v>
      </c>
      <c r="D50" s="55">
        <f>SUM(A29)</f>
        <v>132237.33127477192</v>
      </c>
      <c r="E50" s="55">
        <f>SUM(B30)</f>
        <v>131184.8678141454</v>
      </c>
      <c r="F50" s="13">
        <f>SUM(A50)</f>
        <v>133573</v>
      </c>
      <c r="G50" s="13">
        <f>SUM(B50)</f>
        <v>134102</v>
      </c>
      <c r="H50" s="13">
        <f>SUM(C50)</f>
        <v>132278.79239329384</v>
      </c>
      <c r="I50" s="40"/>
      <c r="J50" s="40"/>
      <c r="K50" s="40"/>
      <c r="L50" s="40"/>
      <c r="M50" s="40"/>
      <c r="N50" s="40"/>
      <c r="O50" s="40"/>
      <c r="P50" s="40"/>
      <c r="Q50" s="40"/>
      <c r="R50" s="40"/>
    </row>
    <row r="51" spans="1:18" x14ac:dyDescent="0.25">
      <c r="A51" s="129">
        <f>SUM(H27)</f>
        <v>133666.05550069088</v>
      </c>
      <c r="B51" s="129">
        <f>SUM(G27)</f>
        <v>133710.25526041666</v>
      </c>
      <c r="C51" s="56">
        <f>SUM(F27)</f>
        <v>133661.93848123937</v>
      </c>
      <c r="D51" s="56">
        <f>SUM(E27)</f>
        <v>133994.21513121811</v>
      </c>
      <c r="E51" s="56">
        <f>SUM(D27)</f>
        <v>133573</v>
      </c>
      <c r="F51" s="56">
        <f>SUM(C27)</f>
        <v>134102</v>
      </c>
      <c r="G51" s="57">
        <f>SUM(A36)</f>
        <v>132278.79239329384</v>
      </c>
      <c r="H51" s="57">
        <f>SUM(A35)</f>
        <v>132218.5553602181</v>
      </c>
      <c r="I51" s="58"/>
      <c r="J51" s="58"/>
      <c r="K51" s="58"/>
      <c r="L51" s="58"/>
      <c r="M51" s="58"/>
      <c r="N51" s="58"/>
      <c r="O51" s="58"/>
      <c r="P51" s="58"/>
      <c r="Q51" s="58"/>
      <c r="R51" s="58"/>
    </row>
    <row r="52" spans="1:18" x14ac:dyDescent="0.25">
      <c r="A52" s="37"/>
      <c r="B52" s="3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</row>
    <row r="53" spans="1:18" x14ac:dyDescent="0.25">
      <c r="A53" s="130"/>
      <c r="B53" s="130"/>
      <c r="C53" s="121"/>
      <c r="D53" s="11"/>
      <c r="E53" s="11"/>
      <c r="F53" s="11"/>
      <c r="G53" s="11"/>
      <c r="H53" s="11"/>
      <c r="I53" s="11"/>
      <c r="J53" s="11"/>
    </row>
    <row r="54" spans="1:18" x14ac:dyDescent="0.25">
      <c r="A54" s="121"/>
      <c r="B54" s="121"/>
      <c r="C54" s="121"/>
      <c r="D54" s="11"/>
      <c r="E54" s="11"/>
      <c r="F54" s="11"/>
      <c r="G54" s="11"/>
      <c r="H54" s="11"/>
      <c r="I54" s="11"/>
      <c r="J54" s="11"/>
    </row>
    <row r="55" spans="1:18" x14ac:dyDescent="0.25">
      <c r="A55" s="121"/>
      <c r="B55" s="121"/>
      <c r="C55" s="121"/>
      <c r="D55" s="11"/>
      <c r="E55" s="11"/>
      <c r="F55" s="11"/>
      <c r="G55" s="11"/>
      <c r="H55" s="11"/>
      <c r="I55" s="11"/>
      <c r="J55" s="11"/>
    </row>
    <row r="56" spans="1:18" x14ac:dyDescent="0.25">
      <c r="A56" s="121"/>
      <c r="B56" s="121"/>
      <c r="C56" s="121"/>
      <c r="D56" s="11"/>
      <c r="E56" s="11"/>
      <c r="F56" s="11"/>
      <c r="G56" s="11"/>
      <c r="H56" s="11"/>
      <c r="I56" s="11"/>
      <c r="J56" s="11"/>
    </row>
    <row r="57" spans="1:18" x14ac:dyDescent="0.25">
      <c r="A57" s="121"/>
      <c r="B57" s="121"/>
      <c r="C57" s="121"/>
      <c r="D57" s="11"/>
      <c r="E57" s="11"/>
      <c r="F57" s="11"/>
      <c r="G57" s="11"/>
      <c r="H57" s="11"/>
      <c r="I57" s="11"/>
      <c r="J57" s="11"/>
    </row>
    <row r="58" spans="1:18" x14ac:dyDescent="0.25">
      <c r="A58" s="121"/>
      <c r="B58" s="121"/>
      <c r="C58" s="121"/>
      <c r="D58" s="11"/>
      <c r="E58" s="11"/>
      <c r="F58" s="11"/>
      <c r="G58" s="11"/>
      <c r="H58" s="11"/>
      <c r="I58" s="11"/>
      <c r="J58" s="11"/>
    </row>
    <row r="59" spans="1:18" x14ac:dyDescent="0.25">
      <c r="A59" s="121"/>
      <c r="B59" s="121"/>
      <c r="C59" s="121"/>
      <c r="D59" s="11"/>
      <c r="E59" s="11"/>
      <c r="F59" s="11"/>
      <c r="G59" s="11"/>
      <c r="H59" s="11"/>
      <c r="I59" s="11"/>
      <c r="J59" s="11"/>
    </row>
    <row r="60" spans="1:18" x14ac:dyDescent="0.25">
      <c r="A60" s="121"/>
      <c r="B60" s="121"/>
      <c r="C60" s="121"/>
      <c r="D60" s="11"/>
      <c r="E60" s="11"/>
      <c r="F60" s="11"/>
      <c r="G60" s="11"/>
      <c r="H60" s="11"/>
      <c r="I60" s="11"/>
      <c r="J60" s="11"/>
    </row>
    <row r="61" spans="1:18" x14ac:dyDescent="0.25">
      <c r="A61" s="121"/>
      <c r="B61" s="121"/>
      <c r="C61" s="121"/>
      <c r="D61" s="11"/>
      <c r="E61" s="11"/>
      <c r="F61" s="11"/>
      <c r="G61" s="11"/>
      <c r="H61" s="11"/>
      <c r="I61" s="11"/>
      <c r="J61" s="11"/>
    </row>
    <row r="62" spans="1:18" x14ac:dyDescent="0.25">
      <c r="A62" s="121"/>
      <c r="B62" s="121"/>
      <c r="C62" s="121"/>
      <c r="D62" s="11"/>
      <c r="E62" s="11"/>
      <c r="F62" s="11"/>
      <c r="G62" s="11"/>
      <c r="H62" s="11"/>
      <c r="I62" s="11"/>
      <c r="J62" s="11"/>
    </row>
    <row r="63" spans="1:18" x14ac:dyDescent="0.25">
      <c r="A63" s="121"/>
      <c r="B63" s="121"/>
      <c r="C63" s="121"/>
      <c r="D63" s="11"/>
      <c r="E63" s="11"/>
      <c r="F63" s="11"/>
      <c r="G63" s="11"/>
      <c r="H63" s="11"/>
      <c r="I63" s="11"/>
      <c r="J63" s="11"/>
    </row>
    <row r="64" spans="1:18" x14ac:dyDescent="0.25">
      <c r="A64" s="121"/>
      <c r="B64" s="121"/>
      <c r="C64" s="121"/>
      <c r="D64" s="11"/>
      <c r="E64" s="11"/>
      <c r="F64" s="11"/>
      <c r="G64" s="11"/>
      <c r="H64" s="11"/>
      <c r="I64" s="11"/>
      <c r="J64" s="11"/>
    </row>
    <row r="65" spans="1:10" x14ac:dyDescent="0.25">
      <c r="A65" s="121"/>
      <c r="B65" s="121"/>
      <c r="C65" s="121"/>
      <c r="D65" s="12"/>
      <c r="E65" s="12"/>
      <c r="F65" s="12"/>
      <c r="G65" s="12"/>
      <c r="H65" s="12"/>
      <c r="I65" s="12"/>
      <c r="J65" s="12"/>
    </row>
    <row r="66" spans="1:10" x14ac:dyDescent="0.25">
      <c r="A66" s="121"/>
      <c r="B66" s="121"/>
      <c r="C66" s="121"/>
      <c r="D66" s="12"/>
      <c r="E66" s="12"/>
      <c r="F66" s="12"/>
      <c r="G66" s="12"/>
      <c r="H66" s="12"/>
      <c r="I66" s="12"/>
      <c r="J66" s="12"/>
    </row>
    <row r="67" spans="1:10" x14ac:dyDescent="0.25">
      <c r="A67" s="121"/>
      <c r="B67" s="121"/>
      <c r="C67" s="121"/>
      <c r="D67" s="12"/>
      <c r="E67" s="12"/>
      <c r="F67" s="12"/>
      <c r="G67" s="12"/>
      <c r="H67" s="12"/>
      <c r="I67" s="12"/>
      <c r="J67" s="12"/>
    </row>
    <row r="68" spans="1:10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</row>
    <row r="69" spans="1:10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 spans="1:10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 spans="1:10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 spans="1:10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 spans="1:10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spans="1:10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 spans="1:10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 spans="1:10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spans="1:10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 spans="1:10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 spans="1:10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 spans="1:10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 spans="1:1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</row>
  </sheetData>
  <protectedRanges>
    <protectedRange sqref="H13 H39" name="Range6"/>
    <protectedRange sqref="I13:J14 I39:J40" name="Range5"/>
    <protectedRange sqref="H13 H39" name="Range4"/>
    <protectedRange sqref="F12 F38" name="Range3"/>
    <protectedRange sqref="E9:E14 E35:E40" name="Range2"/>
    <protectedRange sqref="C1:D1 C27:D27" name="Range1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Sheet1!A48:A48</xm:f>
              <xm:sqref>A48</xm:sqref>
            </x14:sparkline>
            <x14:sparkline>
              <xm:f>Sheet1!B48:B48</xm:f>
              <xm:sqref>B48</xm:sqref>
            </x14:sparkline>
            <x14:sparkline>
              <xm:f>Sheet1!C48:C48</xm:f>
              <xm:sqref>C48</xm:sqref>
            </x14:sparkline>
            <x14:sparkline>
              <xm:f>Sheet1!D48:D48</xm:f>
              <xm:sqref>D48</xm:sqref>
            </x14:sparkline>
            <x14:sparkline>
              <xm:f>Sheet1!E48:E48</xm:f>
              <xm:sqref>E48</xm:sqref>
            </x14:sparkline>
            <x14:sparkline>
              <xm:f>Sheet1!F48:F48</xm:f>
              <xm:sqref>F48</xm:sqref>
            </x14:sparkline>
            <x14:sparkline>
              <xm:f>Sheet1!G48:G48</xm:f>
              <xm:sqref>G48</xm:sqref>
            </x14:sparkline>
            <x14:sparkline>
              <xm:f>Sheet1!H48:H48</xm:f>
              <xm:sqref>H48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المخططات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Chart1</vt:lpstr>
      <vt:lpstr>Chart2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 abdullah</cp:lastModifiedBy>
  <dcterms:created xsi:type="dcterms:W3CDTF">2013-05-25T05:48:30Z</dcterms:created>
  <dcterms:modified xsi:type="dcterms:W3CDTF">2014-08-16T00:38:16Z</dcterms:modified>
</cp:coreProperties>
</file>