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40" windowWidth="13395" windowHeight="475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R14" i="1" l="1"/>
  <c r="S12" i="1"/>
  <c r="S14" i="1"/>
  <c r="AJ94" i="1"/>
  <c r="Q94" i="1"/>
  <c r="AG91" i="1"/>
  <c r="N91" i="1"/>
  <c r="AJ78" i="1"/>
  <c r="Q78" i="1"/>
  <c r="AJ33" i="1"/>
  <c r="AJ26" i="1"/>
  <c r="Q26" i="1"/>
  <c r="AG23" i="1"/>
  <c r="N23" i="1"/>
  <c r="AJ10" i="1"/>
  <c r="AJ58" i="1" s="1"/>
  <c r="Q10" i="1"/>
  <c r="Q33" i="1" l="1"/>
  <c r="Q58" i="1"/>
  <c r="Q126" i="1"/>
  <c r="Q101" i="1"/>
  <c r="AJ126" i="1"/>
  <c r="AJ101" i="1"/>
  <c r="F1" i="1" l="1"/>
  <c r="E1" i="1"/>
  <c r="D1" i="1"/>
  <c r="J1" i="1" l="1"/>
  <c r="L1" i="1" s="1"/>
  <c r="N1" i="1" s="1"/>
  <c r="I1" i="1"/>
  <c r="K1" i="1" s="1"/>
  <c r="M1" i="1" s="1"/>
  <c r="P1" i="1" l="1"/>
  <c r="O1" i="1"/>
  <c r="Q1" i="1" l="1"/>
  <c r="R1" i="1" s="1"/>
  <c r="S1" i="1" s="1"/>
  <c r="B2" i="1" l="1"/>
  <c r="C2" i="1" s="1"/>
  <c r="D2" i="1" s="1"/>
  <c r="F2" i="1" l="1"/>
  <c r="L2" i="1"/>
  <c r="K2" i="1"/>
  <c r="I2" i="1"/>
  <c r="J2" i="1"/>
  <c r="G1" i="1" s="1"/>
  <c r="H1" i="1" l="1"/>
  <c r="G2" i="1" l="1"/>
  <c r="I3" i="1" s="1"/>
  <c r="T1" i="1" l="1"/>
  <c r="T2" i="1" s="1"/>
  <c r="D3" i="1"/>
  <c r="H2" i="1" l="1"/>
  <c r="F3" i="1" s="1"/>
  <c r="L3" i="1" l="1"/>
  <c r="A3" i="1"/>
  <c r="C3" i="1" s="1"/>
  <c r="H3" i="1" s="1"/>
  <c r="G3" i="1" s="1"/>
  <c r="S11" i="1" l="1"/>
  <c r="Q11" i="1" s="1"/>
  <c r="Q9" i="1" s="1"/>
  <c r="Q77" i="1" s="1"/>
  <c r="E3" i="1"/>
  <c r="Q32" i="1" l="1"/>
  <c r="R27" i="1" s="1"/>
  <c r="R28" i="1" s="1"/>
  <c r="R30" i="1" s="1"/>
  <c r="P28" i="1" s="1"/>
  <c r="Q42" i="1" s="1"/>
  <c r="AJ77" i="1"/>
  <c r="AJ100" i="1" s="1"/>
  <c r="AJ9" i="1"/>
  <c r="AK4" i="1" s="1"/>
  <c r="AK5" i="1" s="1"/>
  <c r="AK7" i="1" s="1"/>
  <c r="AI5" i="1" s="1"/>
  <c r="AJ19" i="1" s="1"/>
  <c r="R4" i="1"/>
  <c r="R5" i="1" s="1"/>
  <c r="R7" i="1" s="1"/>
  <c r="P5" i="1" s="1"/>
  <c r="Q19" i="1" s="1"/>
  <c r="H18" i="1" s="1"/>
  <c r="H19" i="1" s="1"/>
  <c r="O11" i="1" s="1"/>
  <c r="Q18" i="1" s="1"/>
  <c r="P19" i="1" s="1"/>
  <c r="A4" i="1" s="1"/>
  <c r="R72" i="1"/>
  <c r="R73" i="1" s="1"/>
  <c r="R75" i="1" s="1"/>
  <c r="P73" i="1" s="1"/>
  <c r="Q87" i="1" s="1"/>
  <c r="Q100" i="1"/>
  <c r="N18" i="1" l="1"/>
  <c r="AK72" i="1"/>
  <c r="AK73" i="1" s="1"/>
  <c r="AK75" i="1" s="1"/>
  <c r="AI73" i="1" s="1"/>
  <c r="AJ87" i="1" s="1"/>
  <c r="AA86" i="1" s="1"/>
  <c r="AA87" i="1" s="1"/>
  <c r="AH79" i="1" s="1"/>
  <c r="AJ86" i="1" s="1"/>
  <c r="AI87" i="1" s="1"/>
  <c r="T72" i="1" s="1"/>
  <c r="Q57" i="1"/>
  <c r="R52" i="1" s="1"/>
  <c r="R53" i="1" s="1"/>
  <c r="R55" i="1" s="1"/>
  <c r="P53" i="1" s="1"/>
  <c r="Q67" i="1" s="1"/>
  <c r="H66" i="1" s="1"/>
  <c r="H67" i="1" s="1"/>
  <c r="AJ32" i="1"/>
  <c r="AK27" i="1" s="1"/>
  <c r="AK28" i="1" s="1"/>
  <c r="AK30" i="1" s="1"/>
  <c r="AI28" i="1" s="1"/>
  <c r="AJ42" i="1" s="1"/>
  <c r="H41" i="1"/>
  <c r="H42" i="1" s="1"/>
  <c r="N41" i="1"/>
  <c r="Q125" i="1"/>
  <c r="R120" i="1" s="1"/>
  <c r="R121" i="1" s="1"/>
  <c r="R123" i="1" s="1"/>
  <c r="P121" i="1" s="1"/>
  <c r="Q135" i="1" s="1"/>
  <c r="R95" i="1"/>
  <c r="R96" i="1" s="1"/>
  <c r="R98" i="1" s="1"/>
  <c r="P96" i="1" s="1"/>
  <c r="Q110" i="1" s="1"/>
  <c r="N86" i="1"/>
  <c r="H86" i="1"/>
  <c r="H87" i="1" s="1"/>
  <c r="O79" i="1" s="1"/>
  <c r="Q86" i="1" s="1"/>
  <c r="P87" i="1" s="1"/>
  <c r="A72" i="1" s="1"/>
  <c r="B4" i="1"/>
  <c r="C4" i="1" s="1"/>
  <c r="D4" i="1" s="1"/>
  <c r="E4" i="1" s="1"/>
  <c r="F4" i="1" s="1"/>
  <c r="AA18" i="1"/>
  <c r="AA19" i="1" s="1"/>
  <c r="AH11" i="1" s="1"/>
  <c r="AJ18" i="1" s="1"/>
  <c r="AI19" i="1" s="1"/>
  <c r="T4" i="1" s="1"/>
  <c r="AG18" i="1"/>
  <c r="AK95" i="1"/>
  <c r="AK96" i="1" s="1"/>
  <c r="AK98" i="1" s="1"/>
  <c r="AI96" i="1" s="1"/>
  <c r="AJ110" i="1" s="1"/>
  <c r="AJ125" i="1"/>
  <c r="AK120" i="1" s="1"/>
  <c r="AK121" i="1" s="1"/>
  <c r="AK123" i="1" s="1"/>
  <c r="AI121" i="1" s="1"/>
  <c r="AJ135" i="1" s="1"/>
  <c r="AG86" i="1" l="1"/>
  <c r="AJ57" i="1"/>
  <c r="AK52" i="1" s="1"/>
  <c r="AK53" i="1" s="1"/>
  <c r="AK55" i="1" s="1"/>
  <c r="AI53" i="1" s="1"/>
  <c r="AJ67" i="1" s="1"/>
  <c r="AA66" i="1" s="1"/>
  <c r="AA67" i="1" s="1"/>
  <c r="N66" i="1"/>
  <c r="AG41" i="1"/>
  <c r="AA41" i="1"/>
  <c r="AA42" i="1" s="1"/>
  <c r="U72" i="1"/>
  <c r="V72" i="1" s="1"/>
  <c r="W72" i="1" s="1"/>
  <c r="X72" i="1" s="1"/>
  <c r="Y72" i="1" s="1"/>
  <c r="N109" i="1"/>
  <c r="H109" i="1"/>
  <c r="H110" i="1" s="1"/>
  <c r="U4" i="1"/>
  <c r="V4" i="1" s="1"/>
  <c r="W4" i="1" s="1"/>
  <c r="X4" i="1" s="1"/>
  <c r="Y4" i="1" s="1"/>
  <c r="H134" i="1"/>
  <c r="H135" i="1" s="1"/>
  <c r="N134" i="1"/>
  <c r="AG134" i="1"/>
  <c r="AA134" i="1"/>
  <c r="AA135" i="1" s="1"/>
  <c r="B72" i="1"/>
  <c r="C72" i="1" s="1"/>
  <c r="D72" i="1" s="1"/>
  <c r="E72" i="1" s="1"/>
  <c r="F72" i="1" s="1"/>
  <c r="AG109" i="1"/>
  <c r="AA109" i="1"/>
  <c r="AA110" i="1" s="1"/>
  <c r="O59" i="1"/>
  <c r="Q66" i="1" s="1"/>
  <c r="P67" i="1" s="1"/>
  <c r="A52" i="1" s="1"/>
  <c r="J4" i="1"/>
  <c r="G4" i="1"/>
  <c r="H4" i="1" s="1"/>
  <c r="I4" i="1" s="1"/>
  <c r="O34" i="1"/>
  <c r="Q41" i="1" s="1"/>
  <c r="P42" i="1" s="1"/>
  <c r="A27" i="1" s="1"/>
  <c r="AG66" i="1" l="1"/>
  <c r="Q34" i="1"/>
  <c r="Q59" i="1"/>
  <c r="G72" i="1"/>
  <c r="H72" i="1" s="1"/>
  <c r="I72" i="1" s="1"/>
  <c r="J72" i="1"/>
  <c r="O127" i="1"/>
  <c r="Q134" i="1" s="1"/>
  <c r="P135" i="1" s="1"/>
  <c r="A120" i="1" s="1"/>
  <c r="O102" i="1"/>
  <c r="Q109" i="1" s="1"/>
  <c r="P110" i="1" s="1"/>
  <c r="A95" i="1" s="1"/>
  <c r="B27" i="1"/>
  <c r="C27" i="1" s="1"/>
  <c r="D27" i="1" s="1"/>
  <c r="E27" i="1" s="1"/>
  <c r="F27" i="1" s="1"/>
  <c r="AH59" i="1"/>
  <c r="AJ66" i="1" s="1"/>
  <c r="AI67" i="1" s="1"/>
  <c r="T52" i="1" s="1"/>
  <c r="AH127" i="1"/>
  <c r="AJ134" i="1" s="1"/>
  <c r="AI135" i="1" s="1"/>
  <c r="T120" i="1" s="1"/>
  <c r="AC72" i="1"/>
  <c r="Z72" i="1"/>
  <c r="AA72" i="1" s="1"/>
  <c r="AB72" i="1" s="1"/>
  <c r="B52" i="1"/>
  <c r="C52" i="1" s="1"/>
  <c r="D52" i="1" s="1"/>
  <c r="E52" i="1" s="1"/>
  <c r="F52" i="1" s="1"/>
  <c r="AH102" i="1"/>
  <c r="AJ109" i="1" s="1"/>
  <c r="AI110" i="1" s="1"/>
  <c r="T95" i="1" s="1"/>
  <c r="AH34" i="1"/>
  <c r="AJ41" i="1" s="1"/>
  <c r="AI42" i="1" s="1"/>
  <c r="T27" i="1" s="1"/>
  <c r="K4" i="1"/>
  <c r="L4" i="1" s="1"/>
  <c r="M4" i="1" s="1"/>
  <c r="AC4" i="1"/>
  <c r="Z4" i="1"/>
  <c r="AA4" i="1" s="1"/>
  <c r="AB4" i="1" s="1"/>
  <c r="AD72" i="1" l="1"/>
  <c r="AE72" i="1" s="1"/>
  <c r="AF72" i="1" s="1"/>
  <c r="AG72" i="1" s="1"/>
  <c r="AH72" i="1" s="1"/>
  <c r="AI72" i="1" s="1"/>
  <c r="AJ72" i="1" s="1"/>
  <c r="Q127" i="1"/>
  <c r="N4" i="1"/>
  <c r="O4" i="1" s="1"/>
  <c r="P4" i="1" s="1"/>
  <c r="Q4" i="1" s="1"/>
  <c r="AD4" i="1"/>
  <c r="AE4" i="1" s="1"/>
  <c r="AF4" i="1" s="1"/>
  <c r="AJ102" i="1"/>
  <c r="AJ127" i="1"/>
  <c r="Q102" i="1"/>
  <c r="K72" i="1"/>
  <c r="L72" i="1" s="1"/>
  <c r="M72" i="1" s="1"/>
  <c r="U95" i="1"/>
  <c r="V95" i="1" s="1"/>
  <c r="W95" i="1" s="1"/>
  <c r="X95" i="1" s="1"/>
  <c r="Y95" i="1" s="1"/>
  <c r="U120" i="1"/>
  <c r="V120" i="1" s="1"/>
  <c r="W120" i="1" s="1"/>
  <c r="X120" i="1" s="1"/>
  <c r="Y120" i="1" s="1"/>
  <c r="B95" i="1"/>
  <c r="C95" i="1" s="1"/>
  <c r="D95" i="1" s="1"/>
  <c r="E95" i="1" s="1"/>
  <c r="F95" i="1" s="1"/>
  <c r="J52" i="1"/>
  <c r="G52" i="1"/>
  <c r="H52" i="1" s="1"/>
  <c r="I52" i="1" s="1"/>
  <c r="AJ34" i="1"/>
  <c r="AJ59" i="1"/>
  <c r="U27" i="1"/>
  <c r="V27" i="1" s="1"/>
  <c r="W27" i="1" s="1"/>
  <c r="X27" i="1" s="1"/>
  <c r="Y27" i="1" s="1"/>
  <c r="U52" i="1"/>
  <c r="V52" i="1" s="1"/>
  <c r="W52" i="1" s="1"/>
  <c r="X52" i="1" s="1"/>
  <c r="Y52" i="1" s="1"/>
  <c r="J27" i="1"/>
  <c r="G27" i="1"/>
  <c r="H27" i="1" s="1"/>
  <c r="I27" i="1" s="1"/>
  <c r="B120" i="1"/>
  <c r="C120" i="1" s="1"/>
  <c r="D120" i="1" s="1"/>
  <c r="E120" i="1" s="1"/>
  <c r="F120" i="1" s="1"/>
  <c r="K27" i="1" l="1"/>
  <c r="L27" i="1" s="1"/>
  <c r="M27" i="1" s="1"/>
  <c r="N27" i="1" s="1"/>
  <c r="O27" i="1" s="1"/>
  <c r="AG73" i="1"/>
  <c r="AG74" i="1" s="1"/>
  <c r="AH75" i="1" s="1"/>
  <c r="K52" i="1"/>
  <c r="L52" i="1" s="1"/>
  <c r="M52" i="1" s="1"/>
  <c r="AC52" i="1"/>
  <c r="Z52" i="1"/>
  <c r="AA52" i="1" s="1"/>
  <c r="AB52" i="1" s="1"/>
  <c r="AC27" i="1"/>
  <c r="Z27" i="1"/>
  <c r="AA27" i="1" s="1"/>
  <c r="AB27" i="1" s="1"/>
  <c r="G95" i="1"/>
  <c r="H95" i="1" s="1"/>
  <c r="I95" i="1" s="1"/>
  <c r="J95" i="1"/>
  <c r="AC120" i="1"/>
  <c r="Z120" i="1"/>
  <c r="AA120" i="1" s="1"/>
  <c r="AB120" i="1" s="1"/>
  <c r="Z95" i="1"/>
  <c r="AA95" i="1" s="1"/>
  <c r="AB95" i="1" s="1"/>
  <c r="AC95" i="1"/>
  <c r="J120" i="1"/>
  <c r="G120" i="1"/>
  <c r="H120" i="1" s="1"/>
  <c r="I120" i="1" s="1"/>
  <c r="N72" i="1"/>
  <c r="O72" i="1" s="1"/>
  <c r="P72" i="1" s="1"/>
  <c r="Q72" i="1" s="1"/>
  <c r="AG4" i="1"/>
  <c r="AH4" i="1" s="1"/>
  <c r="AI4" i="1" s="1"/>
  <c r="AJ4" i="1" s="1"/>
  <c r="N5" i="1"/>
  <c r="N52" i="1"/>
  <c r="O52" i="1" s="1"/>
  <c r="P52" i="1" s="1"/>
  <c r="Q52" i="1" s="1"/>
  <c r="AF75" i="1" l="1"/>
  <c r="AG75" i="1" s="1"/>
  <c r="U74" i="1" s="1"/>
  <c r="T74" i="1"/>
  <c r="N73" i="1"/>
  <c r="N74" i="1" s="1"/>
  <c r="AD27" i="1"/>
  <c r="AE27" i="1" s="1"/>
  <c r="AF27" i="1" s="1"/>
  <c r="AG27" i="1" s="1"/>
  <c r="AH27" i="1" s="1"/>
  <c r="AI27" i="1" s="1"/>
  <c r="AJ27" i="1" s="1"/>
  <c r="P27" i="1"/>
  <c r="Q27" i="1" s="1"/>
  <c r="N28" i="1"/>
  <c r="N29" i="1" s="1"/>
  <c r="O30" i="1" s="1"/>
  <c r="AH73" i="1"/>
  <c r="N53" i="1"/>
  <c r="T75" i="1"/>
  <c r="AD120" i="1"/>
  <c r="AE120" i="1" s="1"/>
  <c r="AF120" i="1" s="1"/>
  <c r="A74" i="1"/>
  <c r="N6" i="1"/>
  <c r="A6" i="1"/>
  <c r="O5" i="1"/>
  <c r="K120" i="1"/>
  <c r="L120" i="1" s="1"/>
  <c r="M120" i="1" s="1"/>
  <c r="AG5" i="1"/>
  <c r="AD95" i="1"/>
  <c r="AE95" i="1" s="1"/>
  <c r="AF95" i="1" s="1"/>
  <c r="K95" i="1"/>
  <c r="L95" i="1" s="1"/>
  <c r="M95" i="1" s="1"/>
  <c r="AD52" i="1"/>
  <c r="AE52" i="1" s="1"/>
  <c r="AF52" i="1" s="1"/>
  <c r="O73" i="1" l="1"/>
  <c r="AI81" i="1"/>
  <c r="U83" i="1"/>
  <c r="AF74" i="1"/>
  <c r="AH74" i="1"/>
  <c r="T76" i="1" s="1"/>
  <c r="O28" i="1"/>
  <c r="A29" i="1"/>
  <c r="AG28" i="1"/>
  <c r="T29" i="1" s="1"/>
  <c r="U73" i="1"/>
  <c r="U77" i="1" s="1"/>
  <c r="M30" i="1"/>
  <c r="N30" i="1" s="1"/>
  <c r="A30" i="1" s="1"/>
  <c r="U76" i="1"/>
  <c r="U84" i="1" s="1"/>
  <c r="W84" i="1" s="1"/>
  <c r="X84" i="1" s="1"/>
  <c r="AI80" i="1" s="1"/>
  <c r="X77" i="1"/>
  <c r="N120" i="1"/>
  <c r="O120" i="1" s="1"/>
  <c r="P120" i="1" s="1"/>
  <c r="Q120" i="1" s="1"/>
  <c r="AG52" i="1"/>
  <c r="AH52" i="1" s="1"/>
  <c r="AI52" i="1" s="1"/>
  <c r="AJ52" i="1" s="1"/>
  <c r="M7" i="1"/>
  <c r="N7" i="1" s="1"/>
  <c r="O7" i="1"/>
  <c r="AG120" i="1"/>
  <c r="AH120" i="1" s="1"/>
  <c r="AI120" i="1" s="1"/>
  <c r="AJ120" i="1" s="1"/>
  <c r="N95" i="1"/>
  <c r="O95" i="1" s="1"/>
  <c r="P95" i="1" s="1"/>
  <c r="Q95" i="1" s="1"/>
  <c r="AG95" i="1"/>
  <c r="AH95" i="1" s="1"/>
  <c r="AI95" i="1" s="1"/>
  <c r="AJ95" i="1" s="1"/>
  <c r="AH5" i="1"/>
  <c r="T6" i="1"/>
  <c r="AG6" i="1"/>
  <c r="O75" i="1"/>
  <c r="M75" i="1"/>
  <c r="N75" i="1" s="1"/>
  <c r="O53" i="1"/>
  <c r="A54" i="1"/>
  <c r="N54" i="1"/>
  <c r="AI82" i="1" l="1"/>
  <c r="AK79" i="1" s="1"/>
  <c r="T73" i="1"/>
  <c r="X75" i="1" s="1"/>
  <c r="AI86" i="1"/>
  <c r="T77" i="1"/>
  <c r="T82" i="1" s="1"/>
  <c r="AH85" i="1"/>
  <c r="AH28" i="1"/>
  <c r="AG29" i="1"/>
  <c r="AF30" i="1" s="1"/>
  <c r="AG30" i="1" s="1"/>
  <c r="B29" i="1"/>
  <c r="B31" i="1" s="1"/>
  <c r="B39" i="1" s="1"/>
  <c r="D39" i="1" s="1"/>
  <c r="E39" i="1" s="1"/>
  <c r="V77" i="1"/>
  <c r="W81" i="1" s="1"/>
  <c r="O29" i="1"/>
  <c r="A28" i="1" s="1"/>
  <c r="M29" i="1"/>
  <c r="O74" i="1"/>
  <c r="A75" i="1"/>
  <c r="B74" i="1"/>
  <c r="M74" i="1"/>
  <c r="AF7" i="1"/>
  <c r="AG7" i="1" s="1"/>
  <c r="AH7" i="1"/>
  <c r="AG96" i="1"/>
  <c r="AG121" i="1"/>
  <c r="AG53" i="1"/>
  <c r="A7" i="1"/>
  <c r="O6" i="1"/>
  <c r="B6" i="1"/>
  <c r="M6" i="1"/>
  <c r="N96" i="1"/>
  <c r="AG80" i="1"/>
  <c r="N121" i="1"/>
  <c r="M55" i="1"/>
  <c r="N55" i="1" s="1"/>
  <c r="O55" i="1"/>
  <c r="T83" i="1" l="1"/>
  <c r="AH82" i="1" s="1"/>
  <c r="X83" i="1"/>
  <c r="AJ82" i="1"/>
  <c r="X73" i="1"/>
  <c r="AH30" i="1"/>
  <c r="T79" i="1"/>
  <c r="V82" i="1"/>
  <c r="T78" i="1"/>
  <c r="AJ81" i="1"/>
  <c r="A32" i="1"/>
  <c r="Q36" i="1" s="1"/>
  <c r="A31" i="1"/>
  <c r="B38" i="1"/>
  <c r="E32" i="1"/>
  <c r="B28" i="1"/>
  <c r="P37" i="1" s="1"/>
  <c r="P36" i="1"/>
  <c r="U82" i="1"/>
  <c r="AH81" i="1"/>
  <c r="V83" i="1"/>
  <c r="E30" i="1"/>
  <c r="E28" i="1"/>
  <c r="Q37" i="1"/>
  <c r="C37" i="1"/>
  <c r="P35" i="1"/>
  <c r="T54" i="1"/>
  <c r="AH53" i="1"/>
  <c r="AG54" i="1"/>
  <c r="AI85" i="1"/>
  <c r="AH83" i="1"/>
  <c r="AI79" i="1" s="1"/>
  <c r="A55" i="1"/>
  <c r="O54" i="1"/>
  <c r="B54" i="1"/>
  <c r="M54" i="1"/>
  <c r="A97" i="1"/>
  <c r="O96" i="1"/>
  <c r="N97" i="1"/>
  <c r="B73" i="1"/>
  <c r="B83" i="1"/>
  <c r="E77" i="1"/>
  <c r="P81" i="1"/>
  <c r="B76" i="1"/>
  <c r="T30" i="1"/>
  <c r="AH29" i="1"/>
  <c r="AF29" i="1"/>
  <c r="U29" i="1"/>
  <c r="T122" i="1"/>
  <c r="AH121" i="1"/>
  <c r="AG122" i="1"/>
  <c r="T84" i="1"/>
  <c r="AG82" i="1"/>
  <c r="T97" i="1"/>
  <c r="AH96" i="1"/>
  <c r="AG97" i="1"/>
  <c r="T7" i="1"/>
  <c r="AH6" i="1"/>
  <c r="U6" i="1"/>
  <c r="AF6" i="1"/>
  <c r="A122" i="1"/>
  <c r="O121" i="1"/>
  <c r="N122" i="1"/>
  <c r="B8" i="1"/>
  <c r="B16" i="1" s="1"/>
  <c r="D16" i="1" s="1"/>
  <c r="E16" i="1" s="1"/>
  <c r="P13" i="1"/>
  <c r="B15" i="1"/>
  <c r="E9" i="1"/>
  <c r="B5" i="1"/>
  <c r="X81" i="1"/>
  <c r="A5" i="1"/>
  <c r="A9" i="1"/>
  <c r="A8" i="1"/>
  <c r="AA84" i="1"/>
  <c r="O40" i="1"/>
  <c r="A73" i="1"/>
  <c r="A77" i="1"/>
  <c r="A76" i="1"/>
  <c r="U78" i="1" l="1"/>
  <c r="V78" i="1" s="1"/>
  <c r="A10" i="1"/>
  <c r="T80" i="1"/>
  <c r="T85" i="1" s="1"/>
  <c r="A37" i="1"/>
  <c r="E36" i="1" s="1"/>
  <c r="O42" i="1" s="1"/>
  <c r="F42" i="1" s="1"/>
  <c r="E38" i="1"/>
  <c r="A34" i="1"/>
  <c r="A38" i="1"/>
  <c r="H39" i="1" s="1"/>
  <c r="A33" i="1"/>
  <c r="P41" i="1"/>
  <c r="B32" i="1"/>
  <c r="C32" i="1"/>
  <c r="O36" i="1" s="1"/>
  <c r="E75" i="1"/>
  <c r="E73" i="1"/>
  <c r="A82" i="1"/>
  <c r="A84" i="1" s="1"/>
  <c r="A79" i="1"/>
  <c r="Q81" i="1"/>
  <c r="A78" i="1"/>
  <c r="E83" i="1"/>
  <c r="A83" i="1"/>
  <c r="Q14" i="1"/>
  <c r="E7" i="1"/>
  <c r="E5" i="1"/>
  <c r="M98" i="1"/>
  <c r="N98" i="1" s="1"/>
  <c r="O98" i="1"/>
  <c r="B53" i="1"/>
  <c r="E57" i="1"/>
  <c r="B63" i="1"/>
  <c r="P61" i="1"/>
  <c r="B56" i="1"/>
  <c r="AH86" i="1"/>
  <c r="Y86" i="1"/>
  <c r="AH87" i="1"/>
  <c r="Y87" i="1" s="1"/>
  <c r="B9" i="1"/>
  <c r="N12" i="1" s="1"/>
  <c r="P18" i="1"/>
  <c r="P14" i="1"/>
  <c r="R11" i="1" s="1"/>
  <c r="C9" i="1"/>
  <c r="O13" i="1" s="1"/>
  <c r="O17" i="1"/>
  <c r="P12" i="1"/>
  <c r="C14" i="1"/>
  <c r="AF98" i="1"/>
  <c r="AG98" i="1" s="1"/>
  <c r="AH98" i="1"/>
  <c r="AF123" i="1"/>
  <c r="AG123" i="1" s="1"/>
  <c r="AH123" i="1"/>
  <c r="T32" i="1"/>
  <c r="T31" i="1"/>
  <c r="T28" i="1"/>
  <c r="A53" i="1"/>
  <c r="A57" i="1"/>
  <c r="A56" i="1"/>
  <c r="AH55" i="1"/>
  <c r="AF55" i="1"/>
  <c r="AG55" i="1" s="1"/>
  <c r="O123" i="1"/>
  <c r="M123" i="1"/>
  <c r="N123" i="1" s="1"/>
  <c r="X9" i="1"/>
  <c r="U5" i="1"/>
  <c r="U15" i="1"/>
  <c r="AI13" i="1"/>
  <c r="U8" i="1"/>
  <c r="U16" i="1" s="1"/>
  <c r="W16" i="1" s="1"/>
  <c r="X16" i="1" s="1"/>
  <c r="AG81" i="1"/>
  <c r="AA82" i="1" s="1"/>
  <c r="AG85" i="1" s="1"/>
  <c r="Y82" i="1"/>
  <c r="Q13" i="1"/>
  <c r="E15" i="1"/>
  <c r="A14" i="1"/>
  <c r="A16" i="1" s="1"/>
  <c r="A11" i="1"/>
  <c r="A15" i="1"/>
  <c r="T9" i="1"/>
  <c r="T8" i="1"/>
  <c r="T5" i="1"/>
  <c r="AG84" i="1"/>
  <c r="Y84" i="1" s="1"/>
  <c r="X32" i="1"/>
  <c r="U38" i="1"/>
  <c r="AI36" i="1"/>
  <c r="U28" i="1"/>
  <c r="U31" i="1"/>
  <c r="B84" i="1"/>
  <c r="D84" i="1" s="1"/>
  <c r="E84" i="1" s="1"/>
  <c r="O85" i="1" s="1"/>
  <c r="B77" i="1"/>
  <c r="P86" i="1"/>
  <c r="C77" i="1"/>
  <c r="O81" i="1" s="1"/>
  <c r="P82" i="1"/>
  <c r="R79" i="1" s="1"/>
  <c r="T81" i="1" l="1"/>
  <c r="W83" i="1" s="1"/>
  <c r="X82" i="1" s="1"/>
  <c r="AI84" i="1" s="1"/>
  <c r="O37" i="1"/>
  <c r="N36" i="1" s="1"/>
  <c r="H37" i="1" s="1"/>
  <c r="N40" i="1" s="1"/>
  <c r="A39" i="1"/>
  <c r="F41" i="1"/>
  <c r="U79" i="1"/>
  <c r="V79" i="1" s="1"/>
  <c r="T86" i="1"/>
  <c r="C38" i="1"/>
  <c r="N37" i="1"/>
  <c r="N39" i="1" s="1"/>
  <c r="F39" i="1" s="1"/>
  <c r="O41" i="1"/>
  <c r="B33" i="1"/>
  <c r="C33" i="1" s="1"/>
  <c r="A35" i="1"/>
  <c r="A36" i="1" s="1"/>
  <c r="D38" i="1" s="1"/>
  <c r="E37" i="1" s="1"/>
  <c r="D36" i="1"/>
  <c r="O38" i="1" s="1"/>
  <c r="P34" i="1" s="1"/>
  <c r="N35" i="1"/>
  <c r="B37" i="1"/>
  <c r="AG83" i="1"/>
  <c r="AA81" i="1" s="1"/>
  <c r="AA80" i="1" s="1"/>
  <c r="B78" i="1"/>
  <c r="C78" i="1" s="1"/>
  <c r="C83" i="1"/>
  <c r="B10" i="1"/>
  <c r="C10" i="1" s="1"/>
  <c r="U32" i="1"/>
  <c r="AG35" i="1" s="1"/>
  <c r="AI41" i="1"/>
  <c r="AI37" i="1"/>
  <c r="V32" i="1"/>
  <c r="AH36" i="1" s="1"/>
  <c r="X7" i="1"/>
  <c r="X5" i="1"/>
  <c r="AJ14" i="1"/>
  <c r="A12" i="1"/>
  <c r="T55" i="1"/>
  <c r="AH54" i="1"/>
  <c r="AF54" i="1"/>
  <c r="U54" i="1"/>
  <c r="E53" i="1"/>
  <c r="E55" i="1"/>
  <c r="AK83" i="1"/>
  <c r="AK78" i="1"/>
  <c r="E13" i="1"/>
  <c r="N14" i="1"/>
  <c r="AH17" i="1"/>
  <c r="V14" i="1"/>
  <c r="AI12" i="1"/>
  <c r="V9" i="1"/>
  <c r="AH13" i="1" s="1"/>
  <c r="AI18" i="1"/>
  <c r="AI14" i="1"/>
  <c r="AK11" i="1" s="1"/>
  <c r="A123" i="1"/>
  <c r="O122" i="1"/>
  <c r="B122" i="1"/>
  <c r="M122" i="1"/>
  <c r="X28" i="1"/>
  <c r="X30" i="1"/>
  <c r="B64" i="1"/>
  <c r="D64" i="1" s="1"/>
  <c r="E64" i="1" s="1"/>
  <c r="Q62" i="1" s="1"/>
  <c r="B57" i="1"/>
  <c r="N60" i="1" s="1"/>
  <c r="P62" i="1"/>
  <c r="C57" i="1"/>
  <c r="O61" i="1" s="1"/>
  <c r="P66" i="1"/>
  <c r="A98" i="1"/>
  <c r="O97" i="1"/>
  <c r="B97" i="1"/>
  <c r="M97" i="1"/>
  <c r="B82" i="1"/>
  <c r="D81" i="1"/>
  <c r="T10" i="1"/>
  <c r="AJ13" i="1"/>
  <c r="X15" i="1"/>
  <c r="T11" i="1"/>
  <c r="T15" i="1"/>
  <c r="T14" i="1"/>
  <c r="T16" i="1" s="1"/>
  <c r="U9" i="1"/>
  <c r="H84" i="1"/>
  <c r="O82" i="1"/>
  <c r="A80" i="1"/>
  <c r="U39" i="1"/>
  <c r="W39" i="1" s="1"/>
  <c r="X39" i="1" s="1"/>
  <c r="Q82" i="1"/>
  <c r="P80" i="1"/>
  <c r="C82" i="1"/>
  <c r="O14" i="1"/>
  <c r="H16" i="1"/>
  <c r="N80" i="1"/>
  <c r="Q61" i="1"/>
  <c r="A63" i="1"/>
  <c r="E63" i="1"/>
  <c r="A58" i="1"/>
  <c r="A62" i="1"/>
  <c r="A59" i="1"/>
  <c r="X38" i="1"/>
  <c r="T33" i="1"/>
  <c r="T38" i="1"/>
  <c r="AJ36" i="1"/>
  <c r="T37" i="1"/>
  <c r="X36" i="1" s="1"/>
  <c r="T34" i="1"/>
  <c r="T123" i="1"/>
  <c r="AH122" i="1"/>
  <c r="AF122" i="1"/>
  <c r="U122" i="1"/>
  <c r="T98" i="1"/>
  <c r="AH97" i="1"/>
  <c r="U97" i="1"/>
  <c r="AF97" i="1"/>
  <c r="C15" i="1"/>
  <c r="D13" i="1"/>
  <c r="B14" i="1"/>
  <c r="E81" i="1"/>
  <c r="N82" i="1"/>
  <c r="AH84" i="1" l="1"/>
  <c r="W82" i="1"/>
  <c r="X86" i="1" s="1"/>
  <c r="Y85" i="1"/>
  <c r="AI83" i="1"/>
  <c r="AK86" i="1" s="1"/>
  <c r="U81" i="1"/>
  <c r="V81" i="1" s="1"/>
  <c r="F37" i="1"/>
  <c r="O39" i="1"/>
  <c r="F40" i="1"/>
  <c r="P40" i="1"/>
  <c r="T35" i="1"/>
  <c r="T40" i="1" s="1"/>
  <c r="B36" i="1"/>
  <c r="C36" i="1" s="1"/>
  <c r="A41" i="1"/>
  <c r="U85" i="1"/>
  <c r="V85" i="1" s="1"/>
  <c r="T87" i="1"/>
  <c r="U86" i="1" s="1"/>
  <c r="V86" i="1" s="1"/>
  <c r="A40" i="1"/>
  <c r="B34" i="1"/>
  <c r="C34" i="1" s="1"/>
  <c r="N38" i="1"/>
  <c r="H36" i="1" s="1"/>
  <c r="H35" i="1" s="1"/>
  <c r="V38" i="1"/>
  <c r="U10" i="1"/>
  <c r="V10" i="1" s="1"/>
  <c r="O65" i="1"/>
  <c r="B58" i="1"/>
  <c r="C58" i="1" s="1"/>
  <c r="O86" i="1"/>
  <c r="F86" i="1"/>
  <c r="O87" i="1"/>
  <c r="F87" i="1" s="1"/>
  <c r="R83" i="1" s="1"/>
  <c r="AH41" i="1"/>
  <c r="Y41" i="1"/>
  <c r="O19" i="1"/>
  <c r="F19" i="1" s="1"/>
  <c r="F18" i="1"/>
  <c r="O18" i="1"/>
  <c r="U131" i="1"/>
  <c r="AI129" i="1"/>
  <c r="X125" i="1"/>
  <c r="U121" i="1"/>
  <c r="U125" i="1" s="1"/>
  <c r="U124" i="1"/>
  <c r="AH37" i="1"/>
  <c r="AG36" i="1" s="1"/>
  <c r="AA39" i="1"/>
  <c r="A60" i="1"/>
  <c r="O62" i="1"/>
  <c r="H64" i="1"/>
  <c r="T12" i="1"/>
  <c r="P85" i="1"/>
  <c r="O83" i="1"/>
  <c r="P79" i="1" s="1"/>
  <c r="A125" i="1"/>
  <c r="A124" i="1"/>
  <c r="A121" i="1"/>
  <c r="U53" i="1"/>
  <c r="AI61" i="1"/>
  <c r="U63" i="1"/>
  <c r="X57" i="1"/>
  <c r="U56" i="1"/>
  <c r="U64" i="1" s="1"/>
  <c r="W64" i="1" s="1"/>
  <c r="X64" i="1" s="1"/>
  <c r="D37" i="1"/>
  <c r="E41" i="1" s="1"/>
  <c r="AH42" i="1"/>
  <c r="Y42" i="1" s="1"/>
  <c r="U14" i="1"/>
  <c r="W13" i="1"/>
  <c r="AH14" i="1"/>
  <c r="AG13" i="1" s="1"/>
  <c r="AA14" i="1" s="1"/>
  <c r="AA16" i="1"/>
  <c r="P39" i="1"/>
  <c r="P38" i="1"/>
  <c r="U106" i="1"/>
  <c r="AI104" i="1"/>
  <c r="X100" i="1"/>
  <c r="U96" i="1"/>
  <c r="U100" i="1" s="1"/>
  <c r="U99" i="1"/>
  <c r="U33" i="1"/>
  <c r="V33" i="1" s="1"/>
  <c r="A64" i="1"/>
  <c r="N62" i="1"/>
  <c r="N13" i="1"/>
  <c r="H14" i="1" s="1"/>
  <c r="F14" i="1"/>
  <c r="AJ37" i="1"/>
  <c r="AI35" i="1"/>
  <c r="V37" i="1"/>
  <c r="B79" i="1"/>
  <c r="C79" i="1" s="1"/>
  <c r="A81" i="1"/>
  <c r="A86" i="1"/>
  <c r="A85" i="1"/>
  <c r="E61" i="1"/>
  <c r="B96" i="1"/>
  <c r="P104" i="1"/>
  <c r="E100" i="1"/>
  <c r="B106" i="1"/>
  <c r="B99" i="1"/>
  <c r="C63" i="1"/>
  <c r="B62" i="1"/>
  <c r="D61" i="1"/>
  <c r="B11" i="1"/>
  <c r="C11" i="1" s="1"/>
  <c r="A13" i="1"/>
  <c r="A17" i="1"/>
  <c r="A18" i="1"/>
  <c r="U37" i="1"/>
  <c r="W36" i="1"/>
  <c r="E125" i="1"/>
  <c r="B131" i="1"/>
  <c r="B121" i="1"/>
  <c r="P129" i="1"/>
  <c r="B124" i="1"/>
  <c r="B132" i="1" s="1"/>
  <c r="D132" i="1" s="1"/>
  <c r="E132" i="1" s="1"/>
  <c r="N84" i="1"/>
  <c r="F84" i="1" s="1"/>
  <c r="O15" i="1"/>
  <c r="P11" i="1" s="1"/>
  <c r="P17" i="1"/>
  <c r="T96" i="1"/>
  <c r="T100" i="1"/>
  <c r="T99" i="1"/>
  <c r="T121" i="1"/>
  <c r="T125" i="1"/>
  <c r="T124" i="1"/>
  <c r="T39" i="1"/>
  <c r="AG37" i="1"/>
  <c r="AH40" i="1"/>
  <c r="N81" i="1"/>
  <c r="N83" i="1" s="1"/>
  <c r="H81" i="1" s="1"/>
  <c r="H80" i="1" s="1"/>
  <c r="F82" i="1"/>
  <c r="X13" i="1"/>
  <c r="AG14" i="1"/>
  <c r="A100" i="1"/>
  <c r="A99" i="1"/>
  <c r="A96" i="1"/>
  <c r="P60" i="1"/>
  <c r="C62" i="1"/>
  <c r="V15" i="1"/>
  <c r="N16" i="1"/>
  <c r="F16" i="1" s="1"/>
  <c r="T53" i="1"/>
  <c r="T57" i="1"/>
  <c r="T56" i="1"/>
  <c r="AG12" i="1"/>
  <c r="AK87" i="1" l="1"/>
  <c r="AA83" i="1"/>
  <c r="AA85" i="1" s="1"/>
  <c r="R10" i="1"/>
  <c r="T41" i="1"/>
  <c r="U40" i="1" s="1"/>
  <c r="V40" i="1" s="1"/>
  <c r="U34" i="1"/>
  <c r="V34" i="1" s="1"/>
  <c r="B40" i="1"/>
  <c r="C40" i="1" s="1"/>
  <c r="T36" i="1"/>
  <c r="W38" i="1" s="1"/>
  <c r="X37" i="1" s="1"/>
  <c r="AI39" i="1" s="1"/>
  <c r="A42" i="1"/>
  <c r="B41" i="1" s="1"/>
  <c r="C41" i="1" s="1"/>
  <c r="D33" i="1" s="1"/>
  <c r="E33" i="1" s="1"/>
  <c r="F33" i="1" s="1"/>
  <c r="G33" i="1" s="1"/>
  <c r="W78" i="1"/>
  <c r="X78" i="1" s="1"/>
  <c r="Y78" i="1" s="1"/>
  <c r="Z78" i="1" s="1"/>
  <c r="H38" i="1"/>
  <c r="H40" i="1" s="1"/>
  <c r="N15" i="1"/>
  <c r="H13" i="1" s="1"/>
  <c r="H12" i="1" s="1"/>
  <c r="B17" i="1"/>
  <c r="C17" i="1" s="1"/>
  <c r="A87" i="1"/>
  <c r="B86" i="1" s="1"/>
  <c r="C86" i="1" s="1"/>
  <c r="AG103" i="1"/>
  <c r="A106" i="1"/>
  <c r="Q104" i="1"/>
  <c r="A101" i="1"/>
  <c r="A105" i="1"/>
  <c r="E104" i="1" s="1"/>
  <c r="E106" i="1"/>
  <c r="A102" i="1"/>
  <c r="AJ61" i="1"/>
  <c r="T63" i="1"/>
  <c r="T59" i="1"/>
  <c r="T58" i="1"/>
  <c r="T62" i="1"/>
  <c r="X61" i="1" s="1"/>
  <c r="X63" i="1"/>
  <c r="T130" i="1"/>
  <c r="X129" i="1" s="1"/>
  <c r="AH135" i="1" s="1"/>
  <c r="Y135" i="1" s="1"/>
  <c r="AJ129" i="1"/>
  <c r="T127" i="1"/>
  <c r="X131" i="1"/>
  <c r="T131" i="1"/>
  <c r="T126" i="1"/>
  <c r="X96" i="1"/>
  <c r="X98" i="1"/>
  <c r="X53" i="1"/>
  <c r="X55" i="1"/>
  <c r="AJ62" i="1"/>
  <c r="E98" i="1"/>
  <c r="E96" i="1"/>
  <c r="AG16" i="1"/>
  <c r="Y16" i="1" s="1"/>
  <c r="AG15" i="1"/>
  <c r="AA13" i="1" s="1"/>
  <c r="AA12" i="1" s="1"/>
  <c r="H82" i="1"/>
  <c r="AG39" i="1"/>
  <c r="Y39" i="1" s="1"/>
  <c r="AG38" i="1"/>
  <c r="AA36" i="1" s="1"/>
  <c r="AA35" i="1" s="1"/>
  <c r="X123" i="1"/>
  <c r="X121" i="1"/>
  <c r="B125" i="1"/>
  <c r="N128" i="1" s="1"/>
  <c r="P130" i="1"/>
  <c r="P134" i="1"/>
  <c r="C125" i="1"/>
  <c r="O129" i="1" s="1"/>
  <c r="AI40" i="1"/>
  <c r="AH38" i="1"/>
  <c r="AI34" i="1" s="1"/>
  <c r="A19" i="1"/>
  <c r="B18" i="1" s="1"/>
  <c r="C18" i="1" s="1"/>
  <c r="F85" i="1"/>
  <c r="B81" i="1"/>
  <c r="C81" i="1" s="1"/>
  <c r="D83" i="1"/>
  <c r="U107" i="1"/>
  <c r="W107" i="1" s="1"/>
  <c r="X107" i="1" s="1"/>
  <c r="AH65" i="1"/>
  <c r="AI60" i="1"/>
  <c r="V62" i="1"/>
  <c r="U57" i="1"/>
  <c r="AG60" i="1" s="1"/>
  <c r="AI62" i="1"/>
  <c r="V57" i="1"/>
  <c r="AH61" i="1" s="1"/>
  <c r="AI66" i="1"/>
  <c r="V125" i="1"/>
  <c r="AH129" i="1" s="1"/>
  <c r="AI134" i="1"/>
  <c r="AI130" i="1"/>
  <c r="O84" i="1"/>
  <c r="AH19" i="1"/>
  <c r="Y19" i="1" s="1"/>
  <c r="AK15" i="1" s="1"/>
  <c r="AH18" i="1"/>
  <c r="Y18" i="1"/>
  <c r="F17" i="1"/>
  <c r="B13" i="1"/>
  <c r="C13" i="1" s="1"/>
  <c r="D15" i="1"/>
  <c r="B107" i="1"/>
  <c r="D107" i="1" s="1"/>
  <c r="E107" i="1" s="1"/>
  <c r="B100" i="1"/>
  <c r="P105" i="1"/>
  <c r="C100" i="1"/>
  <c r="O104" i="1" s="1"/>
  <c r="P109" i="1"/>
  <c r="F66" i="1"/>
  <c r="O66" i="1"/>
  <c r="O67" i="1"/>
  <c r="F67" i="1" s="1"/>
  <c r="N17" i="1"/>
  <c r="N64" i="1"/>
  <c r="F64" i="1" s="1"/>
  <c r="E121" i="1"/>
  <c r="E123" i="1"/>
  <c r="Q130" i="1"/>
  <c r="AA37" i="1"/>
  <c r="AG40" i="1" s="1"/>
  <c r="Y37" i="1"/>
  <c r="R13" i="1"/>
  <c r="T101" i="1"/>
  <c r="X106" i="1"/>
  <c r="AJ104" i="1"/>
  <c r="T105" i="1"/>
  <c r="T102" i="1"/>
  <c r="T106" i="1"/>
  <c r="O133" i="1"/>
  <c r="P128" i="1"/>
  <c r="C130" i="1"/>
  <c r="P65" i="1"/>
  <c r="O63" i="1"/>
  <c r="P59" i="1" s="1"/>
  <c r="AI109" i="1"/>
  <c r="AI105" i="1"/>
  <c r="V100" i="1"/>
  <c r="AH104" i="1" s="1"/>
  <c r="Y14" i="1"/>
  <c r="AG17" i="1"/>
  <c r="N61" i="1"/>
  <c r="N63" i="1" s="1"/>
  <c r="H61" i="1" s="1"/>
  <c r="H60" i="1" s="1"/>
  <c r="F62" i="1"/>
  <c r="U132" i="1"/>
  <c r="W132" i="1" s="1"/>
  <c r="X132" i="1" s="1"/>
  <c r="O16" i="1"/>
  <c r="R9" i="1" s="1"/>
  <c r="AH39" i="1"/>
  <c r="B85" i="1"/>
  <c r="C85" i="1" s="1"/>
  <c r="AI17" i="1"/>
  <c r="AH15" i="1"/>
  <c r="AI11" i="1" s="1"/>
  <c r="A131" i="1"/>
  <c r="A130" i="1"/>
  <c r="A132" i="1" s="1"/>
  <c r="A126" i="1"/>
  <c r="E131" i="1"/>
  <c r="Q129" i="1"/>
  <c r="A127" i="1"/>
  <c r="T13" i="1"/>
  <c r="U11" i="1"/>
  <c r="V11" i="1" s="1"/>
  <c r="T17" i="1"/>
  <c r="T18" i="1"/>
  <c r="B59" i="1"/>
  <c r="C59" i="1" s="1"/>
  <c r="A61" i="1"/>
  <c r="A66" i="1"/>
  <c r="A65" i="1"/>
  <c r="AG128" i="1"/>
  <c r="T42" i="1" l="1"/>
  <c r="U41" i="1" s="1"/>
  <c r="V41" i="1" s="1"/>
  <c r="W33" i="1" s="1"/>
  <c r="X33" i="1" s="1"/>
  <c r="Y33" i="1" s="1"/>
  <c r="S15" i="1"/>
  <c r="S13" i="1" s="1"/>
  <c r="AI38" i="1"/>
  <c r="AA38" i="1" s="1"/>
  <c r="AA40" i="1" s="1"/>
  <c r="Y40" i="1"/>
  <c r="W37" i="1"/>
  <c r="X41" i="1" s="1"/>
  <c r="E40" i="1"/>
  <c r="G40" i="1" s="1"/>
  <c r="F36" i="1" s="1"/>
  <c r="G36" i="1" s="1"/>
  <c r="B30" i="1" s="1"/>
  <c r="C30" i="1" s="1"/>
  <c r="E29" i="1" s="1"/>
  <c r="U36" i="1"/>
  <c r="V36" i="1" s="1"/>
  <c r="X85" i="1"/>
  <c r="Z85" i="1" s="1"/>
  <c r="Y81" i="1" s="1"/>
  <c r="Z81" i="1" s="1"/>
  <c r="U75" i="1" s="1"/>
  <c r="T103" i="1"/>
  <c r="T109" i="1" s="1"/>
  <c r="AK10" i="1"/>
  <c r="R15" i="1"/>
  <c r="K3" i="1"/>
  <c r="W129" i="1"/>
  <c r="AI133" i="1" s="1"/>
  <c r="D10" i="1"/>
  <c r="E10" i="1" s="1"/>
  <c r="F10" i="1" s="1"/>
  <c r="G10" i="1" s="1"/>
  <c r="U126" i="1"/>
  <c r="V126" i="1" s="1"/>
  <c r="U58" i="1"/>
  <c r="V58" i="1" s="1"/>
  <c r="A103" i="1"/>
  <c r="A109" i="1" s="1"/>
  <c r="V63" i="1"/>
  <c r="U130" i="1"/>
  <c r="C131" i="1"/>
  <c r="T60" i="1"/>
  <c r="T66" i="1" s="1"/>
  <c r="A67" i="1"/>
  <c r="B66" i="1" s="1"/>
  <c r="C66" i="1" s="1"/>
  <c r="U17" i="1"/>
  <c r="V17" i="1" s="1"/>
  <c r="A128" i="1"/>
  <c r="A134" i="1" s="1"/>
  <c r="V106" i="1"/>
  <c r="V131" i="1"/>
  <c r="Z33" i="1"/>
  <c r="Y17" i="1"/>
  <c r="U13" i="1"/>
  <c r="V13" i="1" s="1"/>
  <c r="W15" i="1"/>
  <c r="O130" i="1"/>
  <c r="H132" i="1"/>
  <c r="AJ130" i="1"/>
  <c r="V130" i="1"/>
  <c r="AI128" i="1"/>
  <c r="T107" i="1"/>
  <c r="AG105" i="1"/>
  <c r="O110" i="1"/>
  <c r="F110" i="1" s="1"/>
  <c r="F109" i="1"/>
  <c r="O109" i="1"/>
  <c r="U62" i="1"/>
  <c r="W61" i="1"/>
  <c r="AI103" i="1"/>
  <c r="V105" i="1"/>
  <c r="R78" i="1"/>
  <c r="N85" i="1"/>
  <c r="T128" i="1"/>
  <c r="AH62" i="1"/>
  <c r="AA64" i="1"/>
  <c r="H107" i="1"/>
  <c r="O105" i="1"/>
  <c r="AH67" i="1"/>
  <c r="Y67" i="1" s="1"/>
  <c r="Y66" i="1"/>
  <c r="AH66" i="1"/>
  <c r="AH133" i="1"/>
  <c r="C106" i="1"/>
  <c r="D104" i="1"/>
  <c r="B105" i="1"/>
  <c r="AH108" i="1"/>
  <c r="AJ105" i="1"/>
  <c r="T64" i="1"/>
  <c r="AG62" i="1"/>
  <c r="A107" i="1"/>
  <c r="N105" i="1"/>
  <c r="U105" i="1"/>
  <c r="D63" i="1"/>
  <c r="F65" i="1"/>
  <c r="B61" i="1"/>
  <c r="C61" i="1" s="1"/>
  <c r="B65" i="1"/>
  <c r="C65" i="1" s="1"/>
  <c r="T19" i="1"/>
  <c r="U18" i="1" s="1"/>
  <c r="V18" i="1" s="1"/>
  <c r="B126" i="1"/>
  <c r="C126" i="1" s="1"/>
  <c r="H62" i="1"/>
  <c r="N65" i="1" s="1"/>
  <c r="D78" i="1"/>
  <c r="E78" i="1" s="1"/>
  <c r="F78" i="1" s="1"/>
  <c r="AA107" i="1"/>
  <c r="AH105" i="1"/>
  <c r="C105" i="1"/>
  <c r="P103" i="1"/>
  <c r="E14" i="1"/>
  <c r="D14" i="1"/>
  <c r="E18" i="1" s="1"/>
  <c r="X104" i="1"/>
  <c r="E82" i="1"/>
  <c r="D82" i="1"/>
  <c r="E86" i="1" s="1"/>
  <c r="AA132" i="1"/>
  <c r="AH130" i="1"/>
  <c r="T132" i="1"/>
  <c r="AG130" i="1"/>
  <c r="B101" i="1"/>
  <c r="C101" i="1" s="1"/>
  <c r="W104" i="1"/>
  <c r="E129" i="1"/>
  <c r="N130" i="1"/>
  <c r="AH134" i="1"/>
  <c r="Y134" i="1"/>
  <c r="U101" i="1"/>
  <c r="V101" i="1" s="1"/>
  <c r="O64" i="1"/>
  <c r="O108" i="1"/>
  <c r="AH16" i="1"/>
  <c r="N103" i="1"/>
  <c r="D129" i="1"/>
  <c r="B130" i="1"/>
  <c r="Q105" i="1"/>
  <c r="X40" i="1" l="1"/>
  <c r="Z40" i="1" s="1"/>
  <c r="Y36" i="1" s="1"/>
  <c r="Z36" i="1" s="1"/>
  <c r="U30" i="1" s="1"/>
  <c r="U102" i="1"/>
  <c r="V102" i="1" s="1"/>
  <c r="B127" i="1"/>
  <c r="C127" i="1" s="1"/>
  <c r="V75" i="1"/>
  <c r="T108" i="1"/>
  <c r="T110" i="1" s="1"/>
  <c r="U109" i="1" s="1"/>
  <c r="V109" i="1" s="1"/>
  <c r="T104" i="1"/>
  <c r="W106" i="1" s="1"/>
  <c r="X105" i="1" s="1"/>
  <c r="A108" i="1"/>
  <c r="A110" i="1" s="1"/>
  <c r="B109" i="1" s="1"/>
  <c r="C109" i="1" s="1"/>
  <c r="AH131" i="1"/>
  <c r="AI127" i="1" s="1"/>
  <c r="T65" i="1"/>
  <c r="T67" i="1" s="1"/>
  <c r="U66" i="1" s="1"/>
  <c r="V66" i="1" s="1"/>
  <c r="D30" i="1"/>
  <c r="D29" i="1" s="1"/>
  <c r="T61" i="1"/>
  <c r="AH64" i="1" s="1"/>
  <c r="A104" i="1"/>
  <c r="F108" i="1" s="1"/>
  <c r="A133" i="1"/>
  <c r="A135" i="1" s="1"/>
  <c r="B134" i="1" s="1"/>
  <c r="C134" i="1" s="1"/>
  <c r="E17" i="1"/>
  <c r="G17" i="1" s="1"/>
  <c r="F13" i="1" s="1"/>
  <c r="G13" i="1" s="1"/>
  <c r="B7" i="1" s="1"/>
  <c r="C7" i="1" s="1"/>
  <c r="B102" i="1"/>
  <c r="C102" i="1" s="1"/>
  <c r="A129" i="1"/>
  <c r="D131" i="1" s="1"/>
  <c r="D130" i="1" s="1"/>
  <c r="E134" i="1" s="1"/>
  <c r="U59" i="1"/>
  <c r="V59" i="1" s="1"/>
  <c r="W10" i="1"/>
  <c r="X10" i="1" s="1"/>
  <c r="Y10" i="1" s="1"/>
  <c r="Z10" i="1" s="1"/>
  <c r="AG129" i="1"/>
  <c r="AA130" i="1" s="1"/>
  <c r="AG133" i="1" s="1"/>
  <c r="Y130" i="1"/>
  <c r="P133" i="1"/>
  <c r="O131" i="1"/>
  <c r="P127" i="1" s="1"/>
  <c r="AH110" i="1"/>
  <c r="Y110" i="1" s="1"/>
  <c r="Y109" i="1"/>
  <c r="AH109" i="1"/>
  <c r="N107" i="1"/>
  <c r="F107" i="1" s="1"/>
  <c r="X14" i="1"/>
  <c r="W14" i="1"/>
  <c r="X18" i="1" s="1"/>
  <c r="N132" i="1"/>
  <c r="F132" i="1" s="1"/>
  <c r="AI108" i="1"/>
  <c r="AH106" i="1"/>
  <c r="AI102" i="1" s="1"/>
  <c r="AG132" i="1"/>
  <c r="Y132" i="1" s="1"/>
  <c r="AG104" i="1"/>
  <c r="AA105" i="1" s="1"/>
  <c r="AG108" i="1" s="1"/>
  <c r="Y105" i="1"/>
  <c r="E62" i="1"/>
  <c r="D62" i="1"/>
  <c r="E66" i="1" s="1"/>
  <c r="E85" i="1"/>
  <c r="G85" i="1" s="1"/>
  <c r="F134" i="1"/>
  <c r="O134" i="1"/>
  <c r="O135" i="1"/>
  <c r="F135" i="1" s="1"/>
  <c r="P84" i="1"/>
  <c r="P83" i="1"/>
  <c r="P16" i="1"/>
  <c r="P15" i="1"/>
  <c r="D58" i="1"/>
  <c r="E58" i="1" s="1"/>
  <c r="F58" i="1" s="1"/>
  <c r="AG64" i="1"/>
  <c r="Y64" i="1" s="1"/>
  <c r="P108" i="1"/>
  <c r="O106" i="1"/>
  <c r="P102" i="1" s="1"/>
  <c r="AG61" i="1"/>
  <c r="AG63" i="1" s="1"/>
  <c r="AA61" i="1" s="1"/>
  <c r="AA60" i="1" s="1"/>
  <c r="Y62" i="1"/>
  <c r="G78" i="1"/>
  <c r="N104" i="1"/>
  <c r="N106" i="1" s="1"/>
  <c r="H104" i="1" s="1"/>
  <c r="H103" i="1" s="1"/>
  <c r="F105" i="1"/>
  <c r="U127" i="1"/>
  <c r="V127" i="1" s="1"/>
  <c r="T129" i="1"/>
  <c r="T134" i="1"/>
  <c r="T133" i="1"/>
  <c r="AI65" i="1"/>
  <c r="AH63" i="1"/>
  <c r="AI59" i="1" s="1"/>
  <c r="AG107" i="1"/>
  <c r="Y107" i="1" s="1"/>
  <c r="N129" i="1"/>
  <c r="N131" i="1" s="1"/>
  <c r="H129" i="1" s="1"/>
  <c r="H128" i="1" s="1"/>
  <c r="F130" i="1"/>
  <c r="B133" i="1" l="1"/>
  <c r="C133" i="1" s="1"/>
  <c r="U108" i="1"/>
  <c r="V108" i="1" s="1"/>
  <c r="W75" i="1"/>
  <c r="X74" i="1"/>
  <c r="B108" i="1"/>
  <c r="C108" i="1" s="1"/>
  <c r="U104" i="1"/>
  <c r="V104" i="1" s="1"/>
  <c r="AH107" i="1"/>
  <c r="Y108" i="1"/>
  <c r="U61" i="1"/>
  <c r="V61" i="1" s="1"/>
  <c r="F133" i="1"/>
  <c r="O132" i="1"/>
  <c r="E130" i="1"/>
  <c r="P132" i="1" s="1"/>
  <c r="O107" i="1"/>
  <c r="E65" i="1"/>
  <c r="G65" i="1" s="1"/>
  <c r="W63" i="1"/>
  <c r="D106" i="1"/>
  <c r="E105" i="1" s="1"/>
  <c r="P106" i="1" s="1"/>
  <c r="H106" i="1" s="1"/>
  <c r="H108" i="1" s="1"/>
  <c r="B104" i="1"/>
  <c r="C104" i="1" s="1"/>
  <c r="B129" i="1"/>
  <c r="C129" i="1" s="1"/>
  <c r="C29" i="1"/>
  <c r="C31" i="1" s="1"/>
  <c r="C39" i="1" s="1"/>
  <c r="U65" i="1"/>
  <c r="V65" i="1" s="1"/>
  <c r="Y65" i="1"/>
  <c r="F81" i="1"/>
  <c r="G81" i="1" s="1"/>
  <c r="B75" i="1" s="1"/>
  <c r="C75" i="1" s="1"/>
  <c r="H105" i="1"/>
  <c r="N108" i="1" s="1"/>
  <c r="H130" i="1"/>
  <c r="N133" i="1" s="1"/>
  <c r="AG106" i="1"/>
  <c r="AA104" i="1" s="1"/>
  <c r="AA103" i="1" s="1"/>
  <c r="T135" i="1"/>
  <c r="U134" i="1" s="1"/>
  <c r="V134" i="1" s="1"/>
  <c r="X17" i="1"/>
  <c r="Z17" i="1" s="1"/>
  <c r="Y13" i="1" s="1"/>
  <c r="Z13" i="1" s="1"/>
  <c r="U7" i="1" s="1"/>
  <c r="AG131" i="1"/>
  <c r="AA129" i="1" s="1"/>
  <c r="AA128" i="1" s="1"/>
  <c r="U133" i="1"/>
  <c r="V133" i="1" s="1"/>
  <c r="AH132" i="1"/>
  <c r="Y133" i="1"/>
  <c r="U129" i="1"/>
  <c r="V129" i="1" s="1"/>
  <c r="W131" i="1"/>
  <c r="G58" i="1"/>
  <c r="P64" i="1"/>
  <c r="P63" i="1"/>
  <c r="H63" i="1" s="1"/>
  <c r="H65" i="1" s="1"/>
  <c r="AI15" i="1"/>
  <c r="AI16" i="1"/>
  <c r="AA62" i="1"/>
  <c r="AG65" i="1" s="1"/>
  <c r="H83" i="1"/>
  <c r="H85" i="1" s="1"/>
  <c r="R86" i="1"/>
  <c r="R87" i="1"/>
  <c r="W105" i="1"/>
  <c r="X109" i="1" s="1"/>
  <c r="D7" i="1"/>
  <c r="E6" i="1"/>
  <c r="V30" i="1"/>
  <c r="H15" i="1"/>
  <c r="H17" i="1" s="1"/>
  <c r="R18" i="1"/>
  <c r="R19" i="1"/>
  <c r="AI107" i="1"/>
  <c r="AI106" i="1"/>
  <c r="D105" i="1" l="1"/>
  <c r="E109" i="1" s="1"/>
  <c r="P131" i="1"/>
  <c r="H131" i="1" s="1"/>
  <c r="H133" i="1" s="1"/>
  <c r="O35" i="1"/>
  <c r="F35" i="1" s="1"/>
  <c r="D126" i="1"/>
  <c r="E126" i="1" s="1"/>
  <c r="F126" i="1" s="1"/>
  <c r="G126" i="1" s="1"/>
  <c r="P107" i="1"/>
  <c r="C28" i="1"/>
  <c r="D28" i="1" s="1"/>
  <c r="D31" i="1" s="1"/>
  <c r="W101" i="1"/>
  <c r="X108" i="1" s="1"/>
  <c r="Z108" i="1" s="1"/>
  <c r="E31" i="1"/>
  <c r="D101" i="1"/>
  <c r="E108" i="1" s="1"/>
  <c r="G108" i="1" s="1"/>
  <c r="V74" i="1"/>
  <c r="V76" i="1" s="1"/>
  <c r="W74" i="1"/>
  <c r="F61" i="1"/>
  <c r="G61" i="1" s="1"/>
  <c r="B55" i="1" s="1"/>
  <c r="C55" i="1" s="1"/>
  <c r="AA106" i="1"/>
  <c r="AA108" i="1" s="1"/>
  <c r="X62" i="1"/>
  <c r="W62" i="1"/>
  <c r="X66" i="1" s="1"/>
  <c r="W58" i="1"/>
  <c r="X58" i="1" s="1"/>
  <c r="Y58" i="1" s="1"/>
  <c r="Z58" i="1" s="1"/>
  <c r="W126" i="1"/>
  <c r="X126" i="1" s="1"/>
  <c r="Y126" i="1" s="1"/>
  <c r="Z126" i="1" s="1"/>
  <c r="W30" i="1"/>
  <c r="X29" i="1"/>
  <c r="E133" i="1"/>
  <c r="G133" i="1" s="1"/>
  <c r="X130" i="1"/>
  <c r="W130" i="1"/>
  <c r="X134" i="1" s="1"/>
  <c r="C6" i="1"/>
  <c r="C8" i="1" s="1"/>
  <c r="AA15" i="1"/>
  <c r="AA17" i="1" s="1"/>
  <c r="AK18" i="1"/>
  <c r="AK19" i="1"/>
  <c r="V7" i="1"/>
  <c r="D75" i="1"/>
  <c r="E74" i="1"/>
  <c r="D6" i="1"/>
  <c r="D32" i="1" l="1"/>
  <c r="X101" i="1"/>
  <c r="Y101" i="1" s="1"/>
  <c r="Z101" i="1" s="1"/>
  <c r="Y104" i="1" s="1"/>
  <c r="Z104" i="1" s="1"/>
  <c r="U98" i="1" s="1"/>
  <c r="V98" i="1" s="1"/>
  <c r="X97" i="1" s="1"/>
  <c r="E35" i="1"/>
  <c r="C35" i="1" s="1"/>
  <c r="C42" i="1" s="1"/>
  <c r="F38" i="1" s="1"/>
  <c r="Q30" i="1" s="1"/>
  <c r="Q31" i="1" s="1"/>
  <c r="Q35" i="1" s="1"/>
  <c r="Q38" i="1" s="1"/>
  <c r="Q39" i="1" s="1"/>
  <c r="Q40" i="1" s="1"/>
  <c r="E101" i="1"/>
  <c r="F101" i="1" s="1"/>
  <c r="G101" i="1" s="1"/>
  <c r="F104" i="1" s="1"/>
  <c r="G104" i="1" s="1"/>
  <c r="B98" i="1" s="1"/>
  <c r="V73" i="1"/>
  <c r="W73" i="1" s="1"/>
  <c r="V84" i="1"/>
  <c r="AH80" i="1"/>
  <c r="Y80" i="1" s="1"/>
  <c r="X76" i="1"/>
  <c r="AI64" i="1"/>
  <c r="AI63" i="1"/>
  <c r="AA63" i="1" s="1"/>
  <c r="AA65" i="1" s="1"/>
  <c r="X65" i="1"/>
  <c r="Z65" i="1" s="1"/>
  <c r="Y61" i="1" s="1"/>
  <c r="Z61" i="1" s="1"/>
  <c r="U55" i="1" s="1"/>
  <c r="V55" i="1" s="1"/>
  <c r="X133" i="1"/>
  <c r="Z133" i="1" s="1"/>
  <c r="Y129" i="1" s="1"/>
  <c r="Z129" i="1" s="1"/>
  <c r="U123" i="1" s="1"/>
  <c r="V123" i="1" s="1"/>
  <c r="C5" i="1"/>
  <c r="D5" i="1" s="1"/>
  <c r="D8" i="1" s="1"/>
  <c r="F129" i="1"/>
  <c r="G129" i="1" s="1"/>
  <c r="B123" i="1" s="1"/>
  <c r="C123" i="1" s="1"/>
  <c r="W7" i="1"/>
  <c r="X6" i="1"/>
  <c r="D55" i="1"/>
  <c r="E54" i="1"/>
  <c r="E8" i="1"/>
  <c r="C16" i="1"/>
  <c r="O12" i="1"/>
  <c r="F12" i="1" s="1"/>
  <c r="V29" i="1"/>
  <c r="V31" i="1" s="1"/>
  <c r="W29" i="1"/>
  <c r="C74" i="1"/>
  <c r="AI132" i="1"/>
  <c r="AI131" i="1"/>
  <c r="AA131" i="1" s="1"/>
  <c r="AA133" i="1" s="1"/>
  <c r="D74" i="1"/>
  <c r="C73" i="1" l="1"/>
  <c r="D73" i="1" s="1"/>
  <c r="Q28" i="1"/>
  <c r="W98" i="1"/>
  <c r="V97" i="1" s="1"/>
  <c r="V99" i="1" s="1"/>
  <c r="X80" i="1"/>
  <c r="V80" i="1" s="1"/>
  <c r="V87" i="1" s="1"/>
  <c r="Y83" i="1" s="1"/>
  <c r="AJ75" i="1" s="1"/>
  <c r="AJ76" i="1" s="1"/>
  <c r="W76" i="1"/>
  <c r="W77" i="1"/>
  <c r="D9" i="1"/>
  <c r="X31" i="1"/>
  <c r="V39" i="1"/>
  <c r="AH35" i="1"/>
  <c r="Y35" i="1" s="1"/>
  <c r="E12" i="1"/>
  <c r="C12" i="1" s="1"/>
  <c r="C19" i="1" s="1"/>
  <c r="F15" i="1" s="1"/>
  <c r="Q7" i="1" s="1"/>
  <c r="Q8" i="1" s="1"/>
  <c r="C54" i="1"/>
  <c r="D54" i="1"/>
  <c r="V6" i="1"/>
  <c r="V8" i="1" s="1"/>
  <c r="W6" i="1"/>
  <c r="D123" i="1"/>
  <c r="D122" i="1" s="1"/>
  <c r="E122" i="1"/>
  <c r="F34" i="1"/>
  <c r="P32" i="1"/>
  <c r="F23" i="1" s="1"/>
  <c r="P31" i="1"/>
  <c r="F26" i="1" s="1"/>
  <c r="F30" i="1"/>
  <c r="P30" i="1"/>
  <c r="F24" i="1" s="1"/>
  <c r="F28" i="1"/>
  <c r="V28" i="1"/>
  <c r="W28" i="1" s="1"/>
  <c r="C98" i="1"/>
  <c r="W123" i="1"/>
  <c r="V122" i="1" s="1"/>
  <c r="X122" i="1"/>
  <c r="W55" i="1"/>
  <c r="X54" i="1"/>
  <c r="C76" i="1"/>
  <c r="W97" i="1" l="1"/>
  <c r="V96" i="1" s="1"/>
  <c r="W96" i="1" s="1"/>
  <c r="AJ73" i="1"/>
  <c r="AJ80" i="1"/>
  <c r="AJ83" i="1" s="1"/>
  <c r="AJ84" i="1" s="1"/>
  <c r="AJ85" i="1" s="1"/>
  <c r="C53" i="1"/>
  <c r="D53" i="1" s="1"/>
  <c r="V5" i="1"/>
  <c r="W5" i="1" s="1"/>
  <c r="W9" i="1" s="1"/>
  <c r="Q12" i="1"/>
  <c r="Q15" i="1" s="1"/>
  <c r="Q16" i="1" s="1"/>
  <c r="Q17" i="1" s="1"/>
  <c r="Q5" i="1"/>
  <c r="V54" i="1"/>
  <c r="V56" i="1" s="1"/>
  <c r="D77" i="1"/>
  <c r="D76" i="1"/>
  <c r="F32" i="1"/>
  <c r="F31" i="1"/>
  <c r="N31" i="1" s="1"/>
  <c r="P33" i="1" s="1"/>
  <c r="F25" i="1" s="1"/>
  <c r="X8" i="1"/>
  <c r="V16" i="1"/>
  <c r="AH12" i="1"/>
  <c r="Y12" i="1" s="1"/>
  <c r="X99" i="1"/>
  <c r="V107" i="1"/>
  <c r="AH103" i="1"/>
  <c r="Y103" i="1" s="1"/>
  <c r="H30" i="1"/>
  <c r="O31" i="1" s="1"/>
  <c r="O24" i="1" s="1"/>
  <c r="H28" i="1"/>
  <c r="O32" i="1" s="1"/>
  <c r="O25" i="1" s="1"/>
  <c r="E76" i="1"/>
  <c r="C84" i="1"/>
  <c r="O80" i="1"/>
  <c r="F80" i="1" s="1"/>
  <c r="V124" i="1"/>
  <c r="D98" i="1"/>
  <c r="E97" i="1"/>
  <c r="W32" i="1"/>
  <c r="W31" i="1"/>
  <c r="C122" i="1"/>
  <c r="C124" i="1" s="1"/>
  <c r="W54" i="1"/>
  <c r="C56" i="1"/>
  <c r="X35" i="1"/>
  <c r="V35" i="1" s="1"/>
  <c r="V42" i="1" s="1"/>
  <c r="Y38" i="1" s="1"/>
  <c r="AJ30" i="1" s="1"/>
  <c r="AJ31" i="1" s="1"/>
  <c r="W122" i="1"/>
  <c r="V121" i="1" s="1"/>
  <c r="W121" i="1" s="1"/>
  <c r="Y75" i="1" l="1"/>
  <c r="AI76" i="1"/>
  <c r="AA94" i="1" s="1"/>
  <c r="Y73" i="1"/>
  <c r="AI75" i="1"/>
  <c r="AA92" i="1" s="1"/>
  <c r="AI77" i="1"/>
  <c r="AA91" i="1" s="1"/>
  <c r="Y79" i="1"/>
  <c r="V53" i="1"/>
  <c r="W53" i="1" s="1"/>
  <c r="W56" i="1" s="1"/>
  <c r="W8" i="1"/>
  <c r="C121" i="1"/>
  <c r="D121" i="1" s="1"/>
  <c r="D124" i="1" s="1"/>
  <c r="AJ28" i="1"/>
  <c r="AJ35" i="1"/>
  <c r="AJ38" i="1" s="1"/>
  <c r="AJ39" i="1" s="1"/>
  <c r="AJ40" i="1" s="1"/>
  <c r="W125" i="1"/>
  <c r="W124" i="1"/>
  <c r="E56" i="1"/>
  <c r="C64" i="1"/>
  <c r="O60" i="1"/>
  <c r="F60" i="1" s="1"/>
  <c r="E80" i="1"/>
  <c r="C80" i="1" s="1"/>
  <c r="C87" i="1" s="1"/>
  <c r="F83" i="1" s="1"/>
  <c r="Q75" i="1" s="1"/>
  <c r="Q76" i="1" s="1"/>
  <c r="X12" i="1"/>
  <c r="V12" i="1" s="1"/>
  <c r="V19" i="1" s="1"/>
  <c r="Y15" i="1" s="1"/>
  <c r="AJ7" i="1" s="1"/>
  <c r="AJ8" i="1" s="1"/>
  <c r="P8" i="1"/>
  <c r="H26" i="1" s="1"/>
  <c r="F11" i="1"/>
  <c r="P7" i="1"/>
  <c r="H24" i="1" s="1"/>
  <c r="F7" i="1"/>
  <c r="F5" i="1"/>
  <c r="P9" i="1"/>
  <c r="H23" i="1" s="1"/>
  <c r="W100" i="1"/>
  <c r="W99" i="1"/>
  <c r="X124" i="1"/>
  <c r="V132" i="1"/>
  <c r="AH128" i="1"/>
  <c r="Y128" i="1" s="1"/>
  <c r="X103" i="1"/>
  <c r="V103" i="1" s="1"/>
  <c r="V110" i="1" s="1"/>
  <c r="Y106" i="1" s="1"/>
  <c r="AJ98" i="1" s="1"/>
  <c r="AJ99" i="1" s="1"/>
  <c r="C97" i="1"/>
  <c r="C99" i="1" s="1"/>
  <c r="D97" i="1"/>
  <c r="D57" i="1"/>
  <c r="D56" i="1"/>
  <c r="E124" i="1"/>
  <c r="C132" i="1"/>
  <c r="O128" i="1"/>
  <c r="X56" i="1"/>
  <c r="V64" i="1"/>
  <c r="AH60" i="1"/>
  <c r="Y60" i="1" s="1"/>
  <c r="AA73" i="1" l="1"/>
  <c r="AH77" i="1" s="1"/>
  <c r="AI92" i="1" s="1"/>
  <c r="AA75" i="1"/>
  <c r="AH76" i="1" s="1"/>
  <c r="AI93" i="1" s="1"/>
  <c r="Y77" i="1"/>
  <c r="Y76" i="1"/>
  <c r="AG76" i="1" s="1"/>
  <c r="AI78" i="1" s="1"/>
  <c r="AA93" i="1" s="1"/>
  <c r="D125" i="1"/>
  <c r="W57" i="1"/>
  <c r="F128" i="1"/>
  <c r="E128" i="1" s="1"/>
  <c r="E99" i="1"/>
  <c r="C107" i="1"/>
  <c r="O103" i="1"/>
  <c r="F103" i="1" s="1"/>
  <c r="X128" i="1"/>
  <c r="V128" i="1" s="1"/>
  <c r="V135" i="1" s="1"/>
  <c r="Y131" i="1" s="1"/>
  <c r="AJ123" i="1" s="1"/>
  <c r="AJ124" i="1" s="1"/>
  <c r="X60" i="1"/>
  <c r="V60" i="1" s="1"/>
  <c r="V67" i="1" s="1"/>
  <c r="Y63" i="1" s="1"/>
  <c r="AJ55" i="1" s="1"/>
  <c r="AJ56" i="1" s="1"/>
  <c r="C96" i="1"/>
  <c r="D96" i="1" s="1"/>
  <c r="AI31" i="1"/>
  <c r="Y26" i="1" s="1"/>
  <c r="AI30" i="1"/>
  <c r="Y24" i="1" s="1"/>
  <c r="AI32" i="1"/>
  <c r="Y23" i="1" s="1"/>
  <c r="Y34" i="1"/>
  <c r="Y28" i="1"/>
  <c r="Y30" i="1"/>
  <c r="Q80" i="1"/>
  <c r="Q83" i="1" s="1"/>
  <c r="Q84" i="1" s="1"/>
  <c r="Q85" i="1" s="1"/>
  <c r="Q73" i="1"/>
  <c r="AJ103" i="1"/>
  <c r="AJ106" i="1" s="1"/>
  <c r="AJ107" i="1" s="1"/>
  <c r="AJ108" i="1" s="1"/>
  <c r="AJ96" i="1"/>
  <c r="F9" i="1"/>
  <c r="F8" i="1"/>
  <c r="N8" i="1" s="1"/>
  <c r="P10" i="1" s="1"/>
  <c r="H25" i="1" s="1"/>
  <c r="H7" i="1"/>
  <c r="O8" i="1" s="1"/>
  <c r="P25" i="1" s="1"/>
  <c r="H5" i="1"/>
  <c r="O9" i="1" s="1"/>
  <c r="P24" i="1" s="1"/>
  <c r="AJ12" i="1"/>
  <c r="AJ15" i="1" s="1"/>
  <c r="AJ16" i="1" s="1"/>
  <c r="AJ17" i="1" s="1"/>
  <c r="AJ5" i="1"/>
  <c r="E60" i="1"/>
  <c r="C60" i="1" s="1"/>
  <c r="C67" i="1" s="1"/>
  <c r="F63" i="1" s="1"/>
  <c r="Q55" i="1" s="1"/>
  <c r="Q56" i="1" s="1"/>
  <c r="AJ60" i="1" l="1"/>
  <c r="AJ63" i="1" s="1"/>
  <c r="AJ64" i="1" s="1"/>
  <c r="AJ65" i="1" s="1"/>
  <c r="AJ24" i="1" s="1"/>
  <c r="AJ53" i="1"/>
  <c r="AJ128" i="1"/>
  <c r="AJ131" i="1" s="1"/>
  <c r="AJ132" i="1" s="1"/>
  <c r="AJ133" i="1" s="1"/>
  <c r="AJ121" i="1"/>
  <c r="Q60" i="1"/>
  <c r="Q63" i="1" s="1"/>
  <c r="Q64" i="1" s="1"/>
  <c r="Q65" i="1" s="1"/>
  <c r="Q53" i="1"/>
  <c r="Y102" i="1"/>
  <c r="AI99" i="1"/>
  <c r="Y94" i="1" s="1"/>
  <c r="AI100" i="1"/>
  <c r="Y91" i="1" s="1"/>
  <c r="Y96" i="1"/>
  <c r="AI98" i="1"/>
  <c r="Y92" i="1" s="1"/>
  <c r="Y98" i="1"/>
  <c r="AJ92" i="1"/>
  <c r="AA30" i="1"/>
  <c r="AH31" i="1" s="1"/>
  <c r="AH24" i="1" s="1"/>
  <c r="AA28" i="1"/>
  <c r="AH32" i="1" s="1"/>
  <c r="AH25" i="1" s="1"/>
  <c r="Y32" i="1"/>
  <c r="Y31" i="1"/>
  <c r="AG31" i="1" s="1"/>
  <c r="AI33" i="1" s="1"/>
  <c r="Y25" i="1" s="1"/>
  <c r="D100" i="1"/>
  <c r="D99" i="1"/>
  <c r="C128" i="1"/>
  <c r="C135" i="1" s="1"/>
  <c r="F131" i="1" s="1"/>
  <c r="Q123" i="1" s="1"/>
  <c r="Q124" i="1" s="1"/>
  <c r="AI9" i="1"/>
  <c r="AA23" i="1" s="1"/>
  <c r="AI7" i="1"/>
  <c r="AA24" i="1" s="1"/>
  <c r="Y5" i="1"/>
  <c r="Y7" i="1"/>
  <c r="AI8" i="1"/>
  <c r="AA26" i="1" s="1"/>
  <c r="Y11" i="1"/>
  <c r="P75" i="1"/>
  <c r="H92" i="1" s="1"/>
  <c r="F79" i="1"/>
  <c r="P77" i="1"/>
  <c r="H91" i="1" s="1"/>
  <c r="F75" i="1"/>
  <c r="P76" i="1"/>
  <c r="H94" i="1" s="1"/>
  <c r="F73" i="1"/>
  <c r="E103" i="1"/>
  <c r="C103" i="1" s="1"/>
  <c r="C110" i="1" s="1"/>
  <c r="F106" i="1" s="1"/>
  <c r="Q98" i="1" s="1"/>
  <c r="Q99" i="1" s="1"/>
  <c r="AH23" i="1" l="1"/>
  <c r="AI23" i="1"/>
  <c r="AJ25" i="1"/>
  <c r="Q103" i="1"/>
  <c r="Q106" i="1" s="1"/>
  <c r="Q107" i="1" s="1"/>
  <c r="Q108" i="1" s="1"/>
  <c r="Q96" i="1"/>
  <c r="AJ93" i="1"/>
  <c r="AI91" i="1"/>
  <c r="AH91" i="1"/>
  <c r="F55" i="1"/>
  <c r="F53" i="1"/>
  <c r="F59" i="1"/>
  <c r="P56" i="1"/>
  <c r="E26" i="1" s="1"/>
  <c r="P57" i="1"/>
  <c r="E23" i="1" s="1"/>
  <c r="P55" i="1"/>
  <c r="E24" i="1" s="1"/>
  <c r="Q24" i="1"/>
  <c r="AA5" i="1"/>
  <c r="AH9" i="1" s="1"/>
  <c r="AI24" i="1" s="1"/>
  <c r="AA7" i="1"/>
  <c r="AH8" i="1" s="1"/>
  <c r="AI25" i="1" s="1"/>
  <c r="Q128" i="1"/>
  <c r="Q131" i="1" s="1"/>
  <c r="Q132" i="1" s="1"/>
  <c r="Q133" i="1" s="1"/>
  <c r="Q121" i="1"/>
  <c r="Y9" i="1"/>
  <c r="Y8" i="1"/>
  <c r="AG8" i="1" s="1"/>
  <c r="AI10" i="1" s="1"/>
  <c r="AA25" i="1" s="1"/>
  <c r="Y100" i="1"/>
  <c r="Y99" i="1"/>
  <c r="AG99" i="1" s="1"/>
  <c r="AI101" i="1" s="1"/>
  <c r="Y93" i="1" s="1"/>
  <c r="AI124" i="1"/>
  <c r="X94" i="1" s="1"/>
  <c r="Y123" i="1"/>
  <c r="Y121" i="1"/>
  <c r="AI123" i="1"/>
  <c r="X92" i="1" s="1"/>
  <c r="Y127" i="1"/>
  <c r="AI125" i="1"/>
  <c r="X91" i="1" s="1"/>
  <c r="H75" i="1"/>
  <c r="O76" i="1" s="1"/>
  <c r="P93" i="1" s="1"/>
  <c r="H73" i="1"/>
  <c r="O77" i="1" s="1"/>
  <c r="P92" i="1" s="1"/>
  <c r="AA98" i="1"/>
  <c r="AH99" i="1" s="1"/>
  <c r="AH92" i="1" s="1"/>
  <c r="AA96" i="1"/>
  <c r="AH100" i="1" s="1"/>
  <c r="AH93" i="1" s="1"/>
  <c r="F77" i="1"/>
  <c r="F76" i="1"/>
  <c r="N76" i="1" s="1"/>
  <c r="P78" i="1" s="1"/>
  <c r="H93" i="1" s="1"/>
  <c r="AI55" i="1"/>
  <c r="X24" i="1" s="1"/>
  <c r="AI57" i="1"/>
  <c r="X23" i="1" s="1"/>
  <c r="Y59" i="1"/>
  <c r="Y55" i="1"/>
  <c r="AI56" i="1"/>
  <c r="X26" i="1" s="1"/>
  <c r="Y53" i="1"/>
  <c r="Y125" i="1" l="1"/>
  <c r="Y124" i="1"/>
  <c r="AG124" i="1" s="1"/>
  <c r="AI126" i="1" s="1"/>
  <c r="X93" i="1" s="1"/>
  <c r="F102" i="1"/>
  <c r="P100" i="1"/>
  <c r="F91" i="1" s="1"/>
  <c r="P99" i="1"/>
  <c r="F94" i="1" s="1"/>
  <c r="F98" i="1"/>
  <c r="P98" i="1"/>
  <c r="F92" i="1" s="1"/>
  <c r="F96" i="1"/>
  <c r="Q92" i="1"/>
  <c r="Q25" i="1"/>
  <c r="P23" i="1"/>
  <c r="O23" i="1"/>
  <c r="F57" i="1"/>
  <c r="F56" i="1"/>
  <c r="N56" i="1" s="1"/>
  <c r="P58" i="1" s="1"/>
  <c r="E25" i="1" s="1"/>
  <c r="AA123" i="1"/>
  <c r="AH124" i="1" s="1"/>
  <c r="AG92" i="1" s="1"/>
  <c r="AK92" i="1" s="1"/>
  <c r="AA121" i="1"/>
  <c r="AH125" i="1" s="1"/>
  <c r="AG93" i="1" s="1"/>
  <c r="AK91" i="1" s="1"/>
  <c r="F127" i="1"/>
  <c r="P124" i="1"/>
  <c r="E94" i="1" s="1"/>
  <c r="P125" i="1"/>
  <c r="E91" i="1" s="1"/>
  <c r="P123" i="1"/>
  <c r="E92" i="1" s="1"/>
  <c r="F123" i="1"/>
  <c r="F121" i="1"/>
  <c r="H55" i="1"/>
  <c r="O56" i="1" s="1"/>
  <c r="N24" i="1" s="1"/>
  <c r="H53" i="1"/>
  <c r="O57" i="1" s="1"/>
  <c r="N25" i="1" s="1"/>
  <c r="Y57" i="1"/>
  <c r="Y56" i="1"/>
  <c r="AG56" i="1" s="1"/>
  <c r="AI58" i="1" s="1"/>
  <c r="X25" i="1" s="1"/>
  <c r="AA55" i="1"/>
  <c r="AH56" i="1" s="1"/>
  <c r="AG24" i="1" s="1"/>
  <c r="AK22" i="1" s="1"/>
  <c r="AA53" i="1"/>
  <c r="AH57" i="1" s="1"/>
  <c r="AG25" i="1" s="1"/>
  <c r="AK23" i="1" s="1"/>
  <c r="AK25" i="1" l="1"/>
  <c r="AK21" i="1" s="1"/>
  <c r="AK93" i="1"/>
  <c r="AK89" i="1" s="1"/>
  <c r="AK12" i="1"/>
  <c r="AK80" i="1"/>
  <c r="AL92" i="1"/>
  <c r="AL93" i="1" s="1"/>
  <c r="H96" i="1"/>
  <c r="O100" i="1" s="1"/>
  <c r="O93" i="1" s="1"/>
  <c r="H98" i="1"/>
  <c r="O99" i="1" s="1"/>
  <c r="O92" i="1" s="1"/>
  <c r="H123" i="1"/>
  <c r="O124" i="1" s="1"/>
  <c r="N92" i="1" s="1"/>
  <c r="H121" i="1"/>
  <c r="O125" i="1" s="1"/>
  <c r="N93" i="1" s="1"/>
  <c r="F100" i="1"/>
  <c r="F99" i="1"/>
  <c r="N99" i="1" s="1"/>
  <c r="P101" i="1" s="1"/>
  <c r="F93" i="1" s="1"/>
  <c r="R22" i="1"/>
  <c r="R24" i="1"/>
  <c r="F125" i="1"/>
  <c r="F124" i="1"/>
  <c r="N124" i="1" s="1"/>
  <c r="P126" i="1" s="1"/>
  <c r="E93" i="1" s="1"/>
  <c r="AK24" i="1"/>
  <c r="AK90" i="1"/>
  <c r="AK88" i="1" s="1"/>
  <c r="AJ88" i="1" s="1"/>
  <c r="R25" i="1"/>
  <c r="R23" i="1"/>
  <c r="R12" i="1"/>
  <c r="Q93" i="1"/>
  <c r="O91" i="1"/>
  <c r="P91" i="1"/>
  <c r="AJ90" i="1" l="1"/>
  <c r="AJ89" i="1"/>
  <c r="R80" i="1"/>
  <c r="R21" i="1"/>
  <c r="R20" i="1"/>
  <c r="Q20" i="1" s="1"/>
  <c r="Q22" i="1"/>
  <c r="Q21" i="1"/>
  <c r="S24" i="1"/>
  <c r="S25" i="1" s="1"/>
  <c r="AJ21" i="1"/>
  <c r="AK20" i="1"/>
  <c r="AJ20" i="1" s="1"/>
  <c r="AL24" i="1"/>
  <c r="AL25" i="1" s="1"/>
  <c r="AJ22" i="1"/>
  <c r="R92" i="1"/>
  <c r="R90" i="1"/>
  <c r="W91" i="1"/>
  <c r="V93" i="1"/>
  <c r="V91" i="1"/>
  <c r="V92" i="1"/>
  <c r="V94" i="1"/>
  <c r="R93" i="1"/>
  <c r="R91" i="1"/>
  <c r="N11" i="1" l="1"/>
  <c r="J3" i="1" s="1"/>
  <c r="R88" i="1"/>
  <c r="Q88" i="1" s="1"/>
  <c r="Q89" i="1"/>
  <c r="Q90" i="1"/>
  <c r="S92" i="1"/>
  <c r="S93" i="1" s="1"/>
  <c r="R89" i="1"/>
  <c r="V24" i="1"/>
  <c r="W23" i="1"/>
  <c r="V23" i="1"/>
  <c r="V25" i="1"/>
  <c r="V26" i="1"/>
  <c r="C23" i="1"/>
  <c r="D23" i="1"/>
  <c r="C26" i="1"/>
  <c r="C25" i="1"/>
  <c r="C24" i="1"/>
  <c r="C94" i="1" l="1"/>
  <c r="D91" i="1"/>
  <c r="C91" i="1"/>
  <c r="C92" i="1"/>
  <c r="C93" i="1"/>
</calcChain>
</file>

<file path=xl/sharedStrings.xml><?xml version="1.0" encoding="utf-8"?>
<sst xmlns="http://schemas.openxmlformats.org/spreadsheetml/2006/main" count="29" uniqueCount="5">
  <si>
    <t>\</t>
  </si>
  <si>
    <t>NUMBER</t>
  </si>
  <si>
    <t/>
  </si>
  <si>
    <t>1-2Y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</si>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</sst>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(&quot;$&quot;* #,##0.00_);_(&quot;$&quot;* \(#,##0.00\);_(&quot;$&quot;* &quot;-&quot;??_);_(@_)"/>
    <numFmt numFmtId="164" formatCode="0.000"/>
    <numFmt numFmtId="165" formatCode="0.0"/>
    <numFmt numFmtId="166" formatCode="0.0000"/>
    <numFmt numFmtId="167" formatCode="0.0000000000000"/>
    <numFmt numFmtId="168" formatCode="0.00000"/>
    <numFmt numFmtId="169" formatCode="0.000000"/>
    <numFmt numFmtId="170" formatCode="0.0000000"/>
  </numFmts>
  <fonts count="28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i/>
      <sz val="11"/>
      <name val="Calibri"/>
      <family val="2"/>
      <scheme val="minor"/>
    </font>
    <font>
      <sz val="2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0"/>
      <name val="Cambria"/>
      <family val="1"/>
      <scheme val="major"/>
    </font>
    <font>
      <b/>
      <sz val="26"/>
      <name val="Calibri"/>
      <family val="2"/>
      <scheme val="minor"/>
    </font>
    <font>
      <b/>
      <i/>
      <sz val="16"/>
      <name val="Calibri"/>
      <family val="2"/>
      <scheme val="minor"/>
    </font>
    <font>
      <sz val="22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sz val="20"/>
      <color theme="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i/>
      <sz val="26"/>
      <name val="Calibri"/>
      <family val="2"/>
      <scheme val="minor"/>
    </font>
    <font>
      <sz val="14"/>
      <color rgb="FFFF0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01">
    <xf numFmtId="0" fontId="0" fillId="0" borderId="0" xfId="0"/>
    <xf numFmtId="0" fontId="1" fillId="2" borderId="0" xfId="0" applyFont="1" applyFill="1"/>
    <xf numFmtId="166" fontId="7" fillId="2" borderId="0" xfId="0" applyNumberFormat="1" applyFont="1" applyFill="1" applyBorder="1" applyAlignment="1" applyProtection="1">
      <alignment horizontal="center"/>
    </xf>
    <xf numFmtId="2" fontId="8" fillId="2" borderId="4" xfId="0" applyNumberFormat="1" applyFont="1" applyFill="1" applyBorder="1" applyProtection="1"/>
    <xf numFmtId="2" fontId="8" fillId="2" borderId="0" xfId="0" applyNumberFormat="1" applyFont="1" applyFill="1" applyBorder="1" applyProtection="1"/>
    <xf numFmtId="164" fontId="8" fillId="2" borderId="0" xfId="0" applyNumberFormat="1" applyFont="1" applyFill="1" applyBorder="1" applyProtection="1"/>
    <xf numFmtId="167" fontId="8" fillId="2" borderId="0" xfId="0" applyNumberFormat="1" applyFont="1" applyFill="1" applyBorder="1" applyProtection="1"/>
    <xf numFmtId="0" fontId="8" fillId="2" borderId="0" xfId="0" applyFont="1" applyFill="1" applyProtection="1"/>
    <xf numFmtId="2" fontId="7" fillId="2" borderId="0" xfId="0" applyNumberFormat="1" applyFont="1" applyFill="1" applyBorder="1" applyAlignment="1" applyProtection="1">
      <alignment horizontal="center"/>
    </xf>
    <xf numFmtId="1" fontId="8" fillId="2" borderId="0" xfId="0" applyNumberFormat="1" applyFont="1" applyFill="1" applyBorder="1" applyProtection="1"/>
    <xf numFmtId="168" fontId="7" fillId="2" borderId="0" xfId="0" applyNumberFormat="1" applyFont="1" applyFill="1" applyBorder="1" applyAlignment="1" applyProtection="1">
      <alignment horizontal="center"/>
    </xf>
    <xf numFmtId="166" fontId="8" fillId="2" borderId="0" xfId="0" applyNumberFormat="1" applyFont="1" applyFill="1" applyBorder="1" applyProtection="1"/>
    <xf numFmtId="165" fontId="8" fillId="2" borderId="0" xfId="0" applyNumberFormat="1" applyFont="1" applyFill="1" applyBorder="1" applyProtection="1"/>
    <xf numFmtId="2" fontId="7" fillId="2" borderId="4" xfId="0" applyNumberFormat="1" applyFont="1" applyFill="1" applyBorder="1" applyAlignment="1" applyProtection="1">
      <alignment horizontal="center"/>
    </xf>
    <xf numFmtId="2" fontId="7" fillId="2" borderId="0" xfId="0" applyNumberFormat="1" applyFont="1" applyFill="1" applyBorder="1" applyProtection="1"/>
    <xf numFmtId="168" fontId="8" fillId="2" borderId="0" xfId="0" applyNumberFormat="1" applyFont="1" applyFill="1" applyBorder="1" applyProtection="1"/>
    <xf numFmtId="0" fontId="8" fillId="2" borderId="0" xfId="0" applyFont="1" applyFill="1" applyBorder="1" applyProtection="1"/>
    <xf numFmtId="2" fontId="9" fillId="2" borderId="0" xfId="0" applyNumberFormat="1" applyFont="1" applyFill="1" applyBorder="1" applyAlignment="1" applyProtection="1">
      <alignment horizontal="center"/>
    </xf>
    <xf numFmtId="2" fontId="8" fillId="2" borderId="5" xfId="0" applyNumberFormat="1" applyFont="1" applyFill="1" applyBorder="1" applyProtection="1"/>
    <xf numFmtId="168" fontId="7" fillId="2" borderId="8" xfId="0" applyNumberFormat="1" applyFont="1" applyFill="1" applyBorder="1" applyAlignment="1" applyProtection="1">
      <alignment horizontal="center"/>
    </xf>
    <xf numFmtId="0" fontId="7" fillId="2" borderId="0" xfId="0" applyFont="1" applyFill="1" applyAlignment="1" applyProtection="1">
      <alignment horizontal="center"/>
    </xf>
    <xf numFmtId="164" fontId="7" fillId="2" borderId="0" xfId="0" applyNumberFormat="1" applyFont="1" applyFill="1" applyBorder="1" applyAlignment="1" applyProtection="1">
      <alignment horizontal="center"/>
    </xf>
    <xf numFmtId="164" fontId="10" fillId="2" borderId="0" xfId="0" applyNumberFormat="1" applyFont="1" applyFill="1" applyAlignment="1" applyProtection="1">
      <alignment horizontal="center"/>
    </xf>
    <xf numFmtId="164" fontId="8" fillId="2" borderId="0" xfId="0" quotePrefix="1" applyNumberFormat="1" applyFont="1" applyFill="1" applyBorder="1" applyProtection="1"/>
    <xf numFmtId="166" fontId="10" fillId="2" borderId="0" xfId="0" applyNumberFormat="1" applyFont="1" applyFill="1" applyBorder="1" applyAlignment="1" applyProtection="1">
      <alignment horizontal="center"/>
    </xf>
    <xf numFmtId="164" fontId="7" fillId="2" borderId="14" xfId="0" applyNumberFormat="1" applyFont="1" applyFill="1" applyBorder="1" applyAlignment="1" applyProtection="1">
      <alignment horizontal="center"/>
    </xf>
    <xf numFmtId="166" fontId="7" fillId="2" borderId="15" xfId="0" applyNumberFormat="1" applyFont="1" applyFill="1" applyBorder="1" applyAlignment="1" applyProtection="1">
      <alignment horizontal="center"/>
    </xf>
    <xf numFmtId="166" fontId="7" fillId="2" borderId="16" xfId="0" applyNumberFormat="1" applyFont="1" applyFill="1" applyBorder="1" applyAlignment="1" applyProtection="1">
      <alignment horizontal="center"/>
    </xf>
    <xf numFmtId="164" fontId="7" fillId="2" borderId="3" xfId="0" applyNumberFormat="1" applyFont="1" applyFill="1" applyBorder="1" applyAlignment="1" applyProtection="1">
      <alignment horizontal="center"/>
    </xf>
    <xf numFmtId="166" fontId="7" fillId="2" borderId="1" xfId="0" applyNumberFormat="1" applyFont="1" applyFill="1" applyBorder="1" applyAlignment="1" applyProtection="1">
      <alignment horizontal="center"/>
    </xf>
    <xf numFmtId="166" fontId="7" fillId="2" borderId="17" xfId="0" applyNumberFormat="1" applyFont="1" applyFill="1" applyBorder="1" applyAlignment="1" applyProtection="1">
      <alignment horizontal="center"/>
    </xf>
    <xf numFmtId="164" fontId="7" fillId="2" borderId="0" xfId="0" applyNumberFormat="1" applyFont="1" applyFill="1" applyBorder="1" applyProtection="1"/>
    <xf numFmtId="164" fontId="7" fillId="2" borderId="18" xfId="0" applyNumberFormat="1" applyFont="1" applyFill="1" applyBorder="1" applyAlignment="1" applyProtection="1">
      <alignment horizontal="center"/>
    </xf>
    <xf numFmtId="169" fontId="8" fillId="2" borderId="0" xfId="0" applyNumberFormat="1" applyFont="1" applyFill="1" applyBorder="1" applyProtection="1"/>
    <xf numFmtId="166" fontId="7" fillId="2" borderId="0" xfId="0" applyNumberFormat="1" applyFont="1" applyFill="1" applyAlignment="1" applyProtection="1">
      <alignment horizontal="center"/>
    </xf>
    <xf numFmtId="166" fontId="7" fillId="2" borderId="3" xfId="0" applyNumberFormat="1" applyFont="1" applyFill="1" applyBorder="1" applyAlignment="1" applyProtection="1">
      <alignment horizontal="center"/>
    </xf>
    <xf numFmtId="166" fontId="7" fillId="2" borderId="18" xfId="0" applyNumberFormat="1" applyFont="1" applyFill="1" applyBorder="1" applyAlignment="1" applyProtection="1">
      <alignment horizontal="center"/>
    </xf>
    <xf numFmtId="164" fontId="7" fillId="2" borderId="19" xfId="0" applyNumberFormat="1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3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/>
    </xf>
    <xf numFmtId="166" fontId="7" fillId="2" borderId="0" xfId="0" applyNumberFormat="1" applyFont="1" applyFill="1" applyBorder="1" applyAlignment="1" applyProtection="1"/>
    <xf numFmtId="0" fontId="7" fillId="2" borderId="0" xfId="0" applyFont="1" applyFill="1" applyBorder="1" applyAlignment="1" applyProtection="1"/>
    <xf numFmtId="166" fontId="8" fillId="2" borderId="0" xfId="0" applyNumberFormat="1" applyFont="1" applyFill="1" applyProtection="1"/>
    <xf numFmtId="170" fontId="8" fillId="2" borderId="0" xfId="0" applyNumberFormat="1" applyFont="1" applyFill="1" applyBorder="1" applyProtection="1"/>
    <xf numFmtId="165" fontId="10" fillId="2" borderId="0" xfId="0" applyNumberFormat="1" applyFont="1" applyFill="1" applyBorder="1" applyAlignment="1" applyProtection="1">
      <alignment horizontal="center"/>
    </xf>
    <xf numFmtId="170" fontId="8" fillId="2" borderId="0" xfId="0" applyNumberFormat="1" applyFont="1" applyFill="1" applyProtection="1"/>
    <xf numFmtId="165" fontId="7" fillId="2" borderId="0" xfId="0" applyNumberFormat="1" applyFont="1" applyFill="1" applyBorder="1" applyAlignment="1" applyProtection="1">
      <alignment horizontal="center"/>
    </xf>
    <xf numFmtId="166" fontId="7" fillId="2" borderId="0" xfId="0" applyNumberFormat="1" applyFont="1" applyFill="1" applyBorder="1" applyProtection="1"/>
    <xf numFmtId="0" fontId="7" fillId="2" borderId="0" xfId="0" applyFont="1" applyFill="1" applyBorder="1" applyProtection="1"/>
    <xf numFmtId="0" fontId="14" fillId="2" borderId="0" xfId="0" applyFont="1" applyFill="1" applyBorder="1" applyAlignment="1" applyProtection="1">
      <alignment horizontal="center"/>
    </xf>
    <xf numFmtId="2" fontId="8" fillId="2" borderId="0" xfId="0" applyNumberFormat="1" applyFont="1" applyFill="1" applyProtection="1"/>
    <xf numFmtId="2" fontId="7" fillId="2" borderId="0" xfId="0" applyNumberFormat="1" applyFont="1" applyFill="1" applyAlignment="1" applyProtection="1">
      <alignment horizontal="center"/>
    </xf>
    <xf numFmtId="2" fontId="3" fillId="2" borderId="0" xfId="0" applyNumberFormat="1" applyFont="1" applyFill="1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16" fillId="2" borderId="0" xfId="0" applyFont="1" applyFill="1" applyAlignment="1">
      <alignment horizontal="center"/>
    </xf>
    <xf numFmtId="0" fontId="17" fillId="2" borderId="0" xfId="0" applyFont="1" applyFill="1"/>
    <xf numFmtId="164" fontId="7" fillId="2" borderId="8" xfId="0" applyNumberFormat="1" applyFont="1" applyFill="1" applyBorder="1" applyAlignment="1" applyProtection="1">
      <alignment horizontal="center"/>
    </xf>
    <xf numFmtId="0" fontId="11" fillId="2" borderId="0" xfId="0" applyFont="1" applyFill="1" applyProtection="1"/>
    <xf numFmtId="165" fontId="5" fillId="2" borderId="0" xfId="0" applyNumberFormat="1" applyFont="1" applyFill="1"/>
    <xf numFmtId="166" fontId="8" fillId="2" borderId="7" xfId="0" applyNumberFormat="1" applyFont="1" applyFill="1" applyBorder="1" applyProtection="1"/>
    <xf numFmtId="166" fontId="8" fillId="2" borderId="2" xfId="0" applyNumberFormat="1" applyFont="1" applyFill="1" applyBorder="1" applyProtection="1"/>
    <xf numFmtId="164" fontId="7" fillId="2" borderId="0" xfId="0" applyNumberFormat="1" applyFont="1" applyFill="1" applyAlignment="1" applyProtection="1">
      <alignment horizontal="center"/>
    </xf>
    <xf numFmtId="166" fontId="8" fillId="2" borderId="10" xfId="0" applyNumberFormat="1" applyFont="1" applyFill="1" applyBorder="1" applyProtection="1"/>
    <xf numFmtId="166" fontId="8" fillId="2" borderId="12" xfId="0" applyNumberFormat="1" applyFont="1" applyFill="1" applyBorder="1" applyProtection="1"/>
    <xf numFmtId="166" fontId="16" fillId="2" borderId="13" xfId="0" applyNumberFormat="1" applyFont="1" applyFill="1" applyBorder="1" applyAlignment="1" applyProtection="1">
      <alignment horizontal="center"/>
    </xf>
    <xf numFmtId="164" fontId="18" fillId="2" borderId="2" xfId="0" applyNumberFormat="1" applyFont="1" applyFill="1" applyBorder="1" applyAlignment="1" applyProtection="1">
      <alignment horizontal="center"/>
    </xf>
    <xf numFmtId="164" fontId="10" fillId="2" borderId="0" xfId="0" applyNumberFormat="1" applyFont="1" applyFill="1" applyBorder="1" applyAlignment="1" applyProtection="1">
      <alignment horizontal="center"/>
    </xf>
    <xf numFmtId="2" fontId="7" fillId="2" borderId="15" xfId="0" applyNumberFormat="1" applyFont="1" applyFill="1" applyBorder="1" applyAlignment="1" applyProtection="1">
      <alignment horizontal="center"/>
    </xf>
    <xf numFmtId="2" fontId="7" fillId="2" borderId="16" xfId="0" applyNumberFormat="1" applyFont="1" applyFill="1" applyBorder="1" applyAlignment="1" applyProtection="1">
      <alignment horizontal="center"/>
    </xf>
    <xf numFmtId="2" fontId="13" fillId="2" borderId="0" xfId="0" applyNumberFormat="1" applyFont="1" applyFill="1" applyProtection="1"/>
    <xf numFmtId="2" fontId="7" fillId="2" borderId="1" xfId="0" applyNumberFormat="1" applyFont="1" applyFill="1" applyBorder="1" applyAlignment="1" applyProtection="1">
      <alignment horizontal="center"/>
    </xf>
    <xf numFmtId="2" fontId="7" fillId="2" borderId="17" xfId="0" applyNumberFormat="1" applyFont="1" applyFill="1" applyBorder="1" applyAlignment="1" applyProtection="1">
      <alignment horizontal="center"/>
    </xf>
    <xf numFmtId="2" fontId="13" fillId="2" borderId="1" xfId="1" applyNumberFormat="1" applyFont="1" applyFill="1" applyBorder="1" applyAlignment="1" applyProtection="1">
      <alignment horizontal="center"/>
    </xf>
    <xf numFmtId="2" fontId="19" fillId="2" borderId="1" xfId="0" applyNumberFormat="1" applyFont="1" applyFill="1" applyBorder="1" applyProtection="1"/>
    <xf numFmtId="2" fontId="19" fillId="2" borderId="0" xfId="0" applyNumberFormat="1" applyFont="1" applyFill="1" applyProtection="1"/>
    <xf numFmtId="2" fontId="7" fillId="2" borderId="3" xfId="0" applyNumberFormat="1" applyFont="1" applyFill="1" applyBorder="1" applyAlignment="1" applyProtection="1">
      <alignment horizontal="center"/>
    </xf>
    <xf numFmtId="2" fontId="7" fillId="2" borderId="18" xfId="0" applyNumberFormat="1" applyFont="1" applyFill="1" applyBorder="1" applyAlignment="1" applyProtection="1">
      <alignment horizontal="center"/>
    </xf>
    <xf numFmtId="2" fontId="7" fillId="2" borderId="19" xfId="0" applyNumberFormat="1" applyFont="1" applyFill="1" applyBorder="1" applyAlignment="1" applyProtection="1">
      <alignment horizontal="center"/>
    </xf>
    <xf numFmtId="166" fontId="8" fillId="2" borderId="6" xfId="0" applyNumberFormat="1" applyFont="1" applyFill="1" applyBorder="1" applyProtection="1"/>
    <xf numFmtId="166" fontId="8" fillId="2" borderId="9" xfId="0" applyNumberFormat="1" applyFont="1" applyFill="1" applyBorder="1" applyProtection="1"/>
    <xf numFmtId="166" fontId="8" fillId="2" borderId="11" xfId="0" applyNumberFormat="1" applyFont="1" applyFill="1" applyBorder="1" applyProtection="1"/>
    <xf numFmtId="2" fontId="2" fillId="2" borderId="2" xfId="0" applyNumberFormat="1" applyFont="1" applyFill="1" applyBorder="1"/>
    <xf numFmtId="0" fontId="2" fillId="3" borderId="0" xfId="0" applyFont="1" applyFill="1"/>
    <xf numFmtId="0" fontId="21" fillId="2" borderId="21" xfId="0" applyFont="1" applyFill="1" applyBorder="1"/>
    <xf numFmtId="2" fontId="22" fillId="2" borderId="20" xfId="0" applyNumberFormat="1" applyFont="1" applyFill="1" applyBorder="1" applyAlignment="1">
      <alignment horizontal="center"/>
    </xf>
    <xf numFmtId="2" fontId="23" fillId="2" borderId="3" xfId="0" applyNumberFormat="1" applyFont="1" applyFill="1" applyBorder="1" applyAlignment="1">
      <alignment horizontal="center"/>
    </xf>
    <xf numFmtId="2" fontId="22" fillId="2" borderId="0" xfId="0" applyNumberFormat="1" applyFont="1" applyFill="1"/>
    <xf numFmtId="166" fontId="15" fillId="3" borderId="0" xfId="0" applyNumberFormat="1" applyFont="1" applyFill="1" applyAlignment="1">
      <alignment horizontal="center"/>
    </xf>
    <xf numFmtId="1" fontId="24" fillId="3" borderId="0" xfId="0" applyNumberFormat="1" applyFont="1" applyFill="1" applyAlignment="1">
      <alignment horizontal="center"/>
    </xf>
    <xf numFmtId="164" fontId="25" fillId="3" borderId="0" xfId="0" applyNumberFormat="1" applyFont="1" applyFill="1" applyAlignment="1">
      <alignment horizontal="center"/>
    </xf>
    <xf numFmtId="0" fontId="25" fillId="3" borderId="0" xfId="0" applyFont="1" applyFill="1" applyAlignment="1">
      <alignment horizontal="center"/>
    </xf>
    <xf numFmtId="165" fontId="13" fillId="3" borderId="0" xfId="0" applyNumberFormat="1" applyFont="1" applyFill="1"/>
    <xf numFmtId="2" fontId="4" fillId="3" borderId="0" xfId="0" applyNumberFormat="1" applyFont="1" applyFill="1"/>
    <xf numFmtId="1" fontId="19" fillId="3" borderId="2" xfId="0" applyNumberFormat="1" applyFont="1" applyFill="1" applyBorder="1" applyAlignment="1">
      <alignment horizontal="center"/>
    </xf>
    <xf numFmtId="1" fontId="20" fillId="3" borderId="2" xfId="0" applyNumberFormat="1" applyFont="1" applyFill="1" applyBorder="1"/>
    <xf numFmtId="1" fontId="7" fillId="3" borderId="0" xfId="0" applyNumberFormat="1" applyFont="1" applyFill="1"/>
    <xf numFmtId="164" fontId="26" fillId="2" borderId="0" xfId="0" applyNumberFormat="1" applyFont="1" applyFill="1" applyAlignment="1">
      <alignment horizontal="center"/>
    </xf>
    <xf numFmtId="166" fontId="27" fillId="3" borderId="2" xfId="0" applyNumberFormat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9"/>
  <sheetViews>
    <sheetView tabSelected="1" workbookViewId="0">
      <selection activeCell="H3" sqref="H3"/>
    </sheetView>
  </sheetViews>
  <sheetFormatPr defaultRowHeight="15" x14ac:dyDescent="0.25"/>
  <cols>
    <col min="1" max="1" width="12.7109375" customWidth="1"/>
    <col min="2" max="2" width="11.5703125" customWidth="1"/>
    <col min="3" max="3" width="11.140625" customWidth="1"/>
    <col min="4" max="4" width="7.85546875" customWidth="1"/>
    <col min="5" max="5" width="0.7109375" customWidth="1"/>
    <col min="6" max="6" width="11" customWidth="1"/>
    <col min="7" max="7" width="10.42578125" customWidth="1"/>
    <col min="8" max="8" width="11.5703125" customWidth="1"/>
    <col min="9" max="9" width="9.28515625" customWidth="1"/>
    <col min="10" max="10" width="8.7109375" customWidth="1"/>
    <col min="11" max="11" width="9.5703125" customWidth="1"/>
    <col min="12" max="12" width="10" customWidth="1"/>
    <col min="13" max="13" width="8.28515625" customWidth="1"/>
    <col min="14" max="14" width="10.7109375" customWidth="1"/>
    <col min="15" max="15" width="8.85546875" customWidth="1"/>
    <col min="16" max="16" width="9" customWidth="1"/>
    <col min="17" max="17" width="9.7109375" customWidth="1"/>
    <col min="18" max="19" width="13.42578125" customWidth="1"/>
    <col min="20" max="20" width="13.140625" customWidth="1"/>
    <col min="21" max="21" width="9.28515625" bestFit="1" customWidth="1"/>
    <col min="22" max="22" width="15.140625" bestFit="1" customWidth="1"/>
    <col min="23" max="23" width="28" bestFit="1" customWidth="1"/>
    <col min="24" max="24" width="9.28515625" bestFit="1" customWidth="1"/>
    <col min="25" max="25" width="11.5703125" bestFit="1" customWidth="1"/>
    <col min="26" max="27" width="10" bestFit="1" customWidth="1"/>
  </cols>
  <sheetData>
    <row r="1" spans="1:38" ht="33" customHeight="1" thickBot="1" x14ac:dyDescent="0.45">
      <c r="A1" s="92">
        <v>134.44499999999999</v>
      </c>
      <c r="B1" s="93">
        <v>124.19</v>
      </c>
      <c r="C1" s="93">
        <v>134.48500000000001</v>
      </c>
      <c r="D1" s="55">
        <f>((A1+B1)/2)+((B1+C1)/2)</f>
        <v>258.65499999999997</v>
      </c>
      <c r="E1" s="55">
        <f>(A1-B1)^2</f>
        <v>105.1650249999999</v>
      </c>
      <c r="F1" s="55">
        <f>(C1-B1)^2</f>
        <v>105.98702500000033</v>
      </c>
      <c r="G1" s="84">
        <f>J2</f>
        <v>47.502949999999743</v>
      </c>
      <c r="H1" s="88">
        <f>(G1/2)</f>
        <v>23.751474999999871</v>
      </c>
      <c r="I1" s="55">
        <f>(A1/B1)</f>
        <v>1.0825750865609147</v>
      </c>
      <c r="J1" s="55">
        <f>(C1/B1)</f>
        <v>1.082897173685482</v>
      </c>
      <c r="K1" s="55">
        <f>I1^0.5</f>
        <v>1.040468686006895</v>
      </c>
      <c r="L1" s="55">
        <f>J1^0.5</f>
        <v>1.0406234543222068</v>
      </c>
      <c r="M1" s="55">
        <f>INT(K1)-E2</f>
        <v>0</v>
      </c>
      <c r="N1" s="55">
        <f>INT(L1)-E2</f>
        <v>0</v>
      </c>
      <c r="O1" s="55">
        <f>(M1+45/360)^2</f>
        <v>1.5625E-2</v>
      </c>
      <c r="P1" s="55">
        <f>(N1+45/360)^2</f>
        <v>1.5625E-2</v>
      </c>
      <c r="Q1" s="55">
        <f>(O1+P1)/3</f>
        <v>1.0416666666666666E-2</v>
      </c>
      <c r="R1" s="55">
        <f>(Q1*4)</f>
        <v>4.1666666666666664E-2</v>
      </c>
      <c r="S1" s="55">
        <f>R1/3</f>
        <v>1.3888888888888888E-2</v>
      </c>
      <c r="T1" s="61">
        <f>(G2+H1)/2</f>
        <v>23.806779482133315</v>
      </c>
      <c r="U1" s="55"/>
      <c r="V1" s="55"/>
      <c r="W1" s="55"/>
      <c r="X1" s="55"/>
      <c r="Y1" s="55"/>
      <c r="Z1" s="55"/>
      <c r="AA1" s="55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</row>
    <row r="2" spans="1:38" ht="36" customHeight="1" thickBot="1" x14ac:dyDescent="0.4">
      <c r="A2" s="1" t="s">
        <v>0</v>
      </c>
      <c r="B2" s="55">
        <f>Q1/3</f>
        <v>3.472222222222222E-3</v>
      </c>
      <c r="C2" s="55">
        <f>B2/2</f>
        <v>1.736111111111111E-3</v>
      </c>
      <c r="D2" s="99">
        <f>C2/27</f>
        <v>6.4300411522633737E-5</v>
      </c>
      <c r="E2" s="57">
        <v>1</v>
      </c>
      <c r="F2" s="55">
        <f>(F1+E1)^0.5</f>
        <v>14.531071880628772</v>
      </c>
      <c r="G2" s="89">
        <f>(H1)*((F2-C2-D2)^(B2-C2))</f>
        <v>23.862083964266759</v>
      </c>
      <c r="H2" s="87">
        <f>(C1+A1+G2+T1)/4</f>
        <v>79.149715861600029</v>
      </c>
      <c r="I2" s="55">
        <f>E1-F1-D1</f>
        <v>-259.47700000000043</v>
      </c>
      <c r="J2" s="55">
        <f>D1-E1-F1</f>
        <v>47.502949999999743</v>
      </c>
      <c r="K2" s="55">
        <f>F1+E1-D1</f>
        <v>-47.502949999999743</v>
      </c>
      <c r="L2" s="55">
        <f>F1+D1-E1</f>
        <v>259.47700000000043</v>
      </c>
      <c r="M2" s="95">
        <v>7</v>
      </c>
      <c r="N2" s="55"/>
      <c r="O2" s="55"/>
      <c r="P2" s="55"/>
      <c r="Q2" s="55"/>
      <c r="R2" s="55"/>
      <c r="S2" s="55"/>
      <c r="T2" s="56">
        <f>(H1+T1)/2</f>
        <v>23.779127241066593</v>
      </c>
      <c r="U2" s="55"/>
      <c r="V2" s="55"/>
      <c r="W2" s="55"/>
      <c r="X2" s="55"/>
      <c r="Y2" s="55"/>
      <c r="Z2" s="55"/>
      <c r="AA2" s="55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</row>
    <row r="3" spans="1:38" ht="36.75" customHeight="1" thickBot="1" x14ac:dyDescent="0.55000000000000004">
      <c r="A3" s="86">
        <f>(((G1+H2)/3)^0.5+D2*B3)^2</f>
        <v>42.218390875667474</v>
      </c>
      <c r="B3" s="58">
        <v>1</v>
      </c>
      <c r="C3" s="53">
        <f>ABS(A3-H1)</f>
        <v>18.466915875667603</v>
      </c>
      <c r="D3" s="53">
        <f>ABS(G2-H1)</f>
        <v>0.11060896426688771</v>
      </c>
      <c r="E3" s="53">
        <f>ABS(D3-C3)</f>
        <v>18.356306911400715</v>
      </c>
      <c r="F3" s="96">
        <f>(H2+I3)/2</f>
        <v>122552.0748579308</v>
      </c>
      <c r="G3" s="91" t="str">
        <f>IF(H3&gt;0,"S","L")</f>
        <v>S</v>
      </c>
      <c r="H3" s="100">
        <f>(C3-D3)</f>
        <v>18.356306911400715</v>
      </c>
      <c r="I3" s="97">
        <f>(INT((G2/M3)^0.5)+M2*N3)^2</f>
        <v>245025</v>
      </c>
      <c r="J3" s="90" t="str">
        <f>N11</f>
        <v>S</v>
      </c>
      <c r="K3" s="94">
        <f>(R13+S15)/2</f>
        <v>1154.0254980021689</v>
      </c>
      <c r="L3" s="98">
        <f>((I3+H2)/2+I3)/2</f>
        <v>183788.53742896538</v>
      </c>
      <c r="M3" s="85">
        <v>1E-4</v>
      </c>
      <c r="N3" s="85">
        <v>1</v>
      </c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</row>
    <row r="4" spans="1:38" x14ac:dyDescent="0.25">
      <c r="A4" s="2">
        <f>P19</f>
        <v>224.34533365001522</v>
      </c>
      <c r="B4" s="3">
        <f>(A4*10^0.125)</f>
        <v>299.16931062812705</v>
      </c>
      <c r="C4" s="4">
        <f>INT(B4)</f>
        <v>299</v>
      </c>
      <c r="D4" s="4">
        <f>C4*4</f>
        <v>1196</v>
      </c>
      <c r="E4" s="4">
        <f>D4/5</f>
        <v>239.2</v>
      </c>
      <c r="F4" s="5">
        <f>E4^2</f>
        <v>57216.639999999992</v>
      </c>
      <c r="G4" s="5">
        <f>(F4^0.125)</f>
        <v>3.9326952517764404</v>
      </c>
      <c r="H4" s="5">
        <f>G4/3</f>
        <v>1.3108984172588134</v>
      </c>
      <c r="I4" s="5">
        <f>(H4*100)</f>
        <v>131.08984172588134</v>
      </c>
      <c r="J4" s="5">
        <f>(F4/100)</f>
        <v>572.16639999999995</v>
      </c>
      <c r="K4" s="5">
        <f>(J4+I4)/2</f>
        <v>351.62812086294065</v>
      </c>
      <c r="L4" s="5">
        <f>(K4+I4)/2</f>
        <v>241.358981294411</v>
      </c>
      <c r="M4" s="5">
        <f>(L4+A4)/2</f>
        <v>232.85215747221309</v>
      </c>
      <c r="N4" s="5">
        <f>M4*100^0.5</f>
        <v>2328.5215747221309</v>
      </c>
      <c r="O4" s="5">
        <f>INT(N4)/10</f>
        <v>232.8</v>
      </c>
      <c r="P4" s="5">
        <f>(O4)^2/10000</f>
        <v>5.4195840000000004</v>
      </c>
      <c r="Q4" s="5">
        <f>(P4+I4+M4)/3</f>
        <v>123.12052773269814</v>
      </c>
      <c r="R4" s="6">
        <f>Q9^0.5</f>
        <v>30.413005635566734</v>
      </c>
      <c r="S4" s="7"/>
      <c r="T4" s="2">
        <f>AI19</f>
        <v>223.98922994580883</v>
      </c>
      <c r="U4" s="3">
        <f>(T4*10^0.125)</f>
        <v>298.69443870649508</v>
      </c>
      <c r="V4" s="4">
        <f>INT(U4)</f>
        <v>298</v>
      </c>
      <c r="W4" s="4">
        <f>V4*4</f>
        <v>1192</v>
      </c>
      <c r="X4" s="4">
        <f>W4/5</f>
        <v>238.4</v>
      </c>
      <c r="Y4" s="5">
        <f>X4^2</f>
        <v>56834.560000000005</v>
      </c>
      <c r="Z4" s="5">
        <f>(Y4^0.125)</f>
        <v>3.9294029129748234</v>
      </c>
      <c r="AA4" s="5">
        <f>Z4/3</f>
        <v>1.3098009709916079</v>
      </c>
      <c r="AB4" s="5">
        <f>(AA4*100)</f>
        <v>130.98009709916079</v>
      </c>
      <c r="AC4" s="5">
        <f>(Y4/100)</f>
        <v>568.3456000000001</v>
      </c>
      <c r="AD4" s="5">
        <f>(AC4+AB4)/2</f>
        <v>349.66284854958042</v>
      </c>
      <c r="AE4" s="5">
        <f>(AD4+AB4)/2</f>
        <v>240.3214728243706</v>
      </c>
      <c r="AF4" s="5">
        <f>(AE4+T4)/2</f>
        <v>232.15535138508972</v>
      </c>
      <c r="AG4" s="5">
        <f>AF4*100^0.5</f>
        <v>2321.5535138508972</v>
      </c>
      <c r="AH4" s="5">
        <f>INT(AG4)/10</f>
        <v>232.1</v>
      </c>
      <c r="AI4" s="5">
        <f>(AH4)^2/10000</f>
        <v>5.387041</v>
      </c>
      <c r="AJ4" s="5">
        <f>(AI4+AB4+AF4)/3</f>
        <v>122.8408298280835</v>
      </c>
      <c r="AK4" s="6">
        <f>AJ9^0.5</f>
        <v>30.413005635566734</v>
      </c>
      <c r="AL4" s="7"/>
    </row>
    <row r="5" spans="1:38" x14ac:dyDescent="0.25">
      <c r="A5" s="8">
        <f>(O6-O5)</f>
        <v>3.0529850803736451</v>
      </c>
      <c r="B5" s="3">
        <f>(B6+A7)/2</f>
        <v>217.81522229668931</v>
      </c>
      <c r="C5" s="9">
        <f>(D7*C7*B7*C6*D6*A5)</f>
        <v>2394390226550.6807</v>
      </c>
      <c r="D5" s="4">
        <f>(C6*C5*A5)</f>
        <v>3207360166.4247518</v>
      </c>
      <c r="E5" s="8">
        <f>INT(A5+1)</f>
        <v>4</v>
      </c>
      <c r="F5" s="10">
        <f>(Q17*-1)</f>
        <v>-57.140198389677089</v>
      </c>
      <c r="G5" s="11"/>
      <c r="H5" s="2">
        <f>IF(F5&gt;0,-1,1)</f>
        <v>1</v>
      </c>
      <c r="I5" s="11"/>
      <c r="J5" s="11"/>
      <c r="K5" s="11"/>
      <c r="L5" s="11"/>
      <c r="M5" s="11"/>
      <c r="N5" s="11">
        <f>(M4+O4)/2</f>
        <v>232.82607873610655</v>
      </c>
      <c r="O5" s="11">
        <f>N5-A4</f>
        <v>8.480745086091332</v>
      </c>
      <c r="P5" s="11">
        <f>(Q9+R7)/2</f>
        <v>922.308593894507</v>
      </c>
      <c r="Q5" s="12">
        <f>(Q8*A5*100)</f>
        <v>751.9222274022884</v>
      </c>
      <c r="R5" s="6">
        <f>INT(R4)+0.326</f>
        <v>30.326000000000001</v>
      </c>
      <c r="S5" s="7"/>
      <c r="T5" s="8">
        <f>(AH6-AH5)</f>
        <v>3.6229621548739601</v>
      </c>
      <c r="U5" s="3">
        <f>(U6+T7)/2</f>
        <v>217.20278545628534</v>
      </c>
      <c r="V5" s="9">
        <f>(W7*V7*U7*V6*W6*T5)</f>
        <v>15172281038823.193</v>
      </c>
      <c r="W5" s="4">
        <f>(V6*V5*T5)</f>
        <v>16252746700.794586</v>
      </c>
      <c r="X5" s="8">
        <f>INT(T5+1)</f>
        <v>4</v>
      </c>
      <c r="Y5" s="10">
        <f>(AJ17*-1)</f>
        <v>-0.97004956231373074</v>
      </c>
      <c r="Z5" s="11"/>
      <c r="AA5" s="2">
        <f>IF(Y5&gt;0,-1,1)</f>
        <v>1</v>
      </c>
      <c r="AB5" s="11"/>
      <c r="AC5" s="11"/>
      <c r="AD5" s="11"/>
      <c r="AE5" s="11"/>
      <c r="AF5" s="11"/>
      <c r="AG5" s="11">
        <f>(AF4+AH4)/2</f>
        <v>232.12767569254487</v>
      </c>
      <c r="AH5" s="11">
        <f>AG5-T4</f>
        <v>8.1384457467360392</v>
      </c>
      <c r="AI5" s="11">
        <f>(AJ9+AK7)/2</f>
        <v>922.308593894507</v>
      </c>
      <c r="AJ5" s="12">
        <f>(AJ8*T5*100)</f>
        <v>1333.454795564058</v>
      </c>
      <c r="AK5" s="6">
        <f>INT(AK4)+0.326</f>
        <v>30.326000000000001</v>
      </c>
      <c r="AL5" s="7"/>
    </row>
    <row r="6" spans="1:38" x14ac:dyDescent="0.25">
      <c r="A6" s="8">
        <f>N5</f>
        <v>232.82607873610655</v>
      </c>
      <c r="B6" s="13">
        <f>(N5+N7)/2</f>
        <v>222.81884110982838</v>
      </c>
      <c r="C6" s="4">
        <f>(A5/D7)</f>
        <v>4.3876110153542766E-4</v>
      </c>
      <c r="D6" s="4">
        <f>(A5+B7+C7+D7)</f>
        <v>16198.586581564246</v>
      </c>
      <c r="E6" s="14">
        <f>(E5*C7)</f>
        <v>9116.578443262526</v>
      </c>
      <c r="F6" s="15"/>
      <c r="G6" s="11"/>
      <c r="H6" s="11"/>
      <c r="I6" s="11"/>
      <c r="J6" s="11"/>
      <c r="K6" s="11"/>
      <c r="L6" s="11"/>
      <c r="M6" s="11">
        <f>(N5+N7)/2</f>
        <v>222.81884110982838</v>
      </c>
      <c r="N6" s="11">
        <f>(I4+N5)/2</f>
        <v>181.95796023099393</v>
      </c>
      <c r="O6" s="11">
        <f>A4-N7</f>
        <v>11.533730166464977</v>
      </c>
      <c r="P6" s="11"/>
      <c r="Q6" s="5"/>
      <c r="R6" s="16"/>
      <c r="S6" s="7"/>
      <c r="T6" s="8">
        <f>AG5</f>
        <v>232.12767569254487</v>
      </c>
      <c r="U6" s="13">
        <f>(AG5+AG7)/2</f>
        <v>222.17774886837185</v>
      </c>
      <c r="V6" s="4">
        <f>(T5/W7)</f>
        <v>2.95673288000666E-4</v>
      </c>
      <c r="W6" s="4">
        <f>(T5+U7+V7+W7)</f>
        <v>27892.257628839223</v>
      </c>
      <c r="X6" s="14">
        <f>(X5*V7)</f>
        <v>13528.445626752018</v>
      </c>
      <c r="Y6" s="15"/>
      <c r="Z6" s="11"/>
      <c r="AA6" s="11"/>
      <c r="AB6" s="11"/>
      <c r="AC6" s="11"/>
      <c r="AD6" s="11"/>
      <c r="AE6" s="11"/>
      <c r="AF6" s="11">
        <f>(AG5+AG7)/2</f>
        <v>222.17774886837185</v>
      </c>
      <c r="AG6" s="11">
        <f>(AB4+AG5)/2</f>
        <v>181.55388639585283</v>
      </c>
      <c r="AH6" s="11">
        <f>T4-AG7</f>
        <v>11.761407901609999</v>
      </c>
      <c r="AI6" s="11"/>
      <c r="AJ6" s="5"/>
      <c r="AK6" s="16"/>
      <c r="AL6" s="7"/>
    </row>
    <row r="7" spans="1:38" x14ac:dyDescent="0.25">
      <c r="A7" s="17">
        <f>N7</f>
        <v>212.81160348355024</v>
      </c>
      <c r="B7" s="3">
        <f>G13</f>
        <v>6958.1944928341209</v>
      </c>
      <c r="C7" s="4">
        <f>(B7/A5)</f>
        <v>2279.1446108156315</v>
      </c>
      <c r="D7" s="4">
        <f>(A5*C7)</f>
        <v>6958.1944928341209</v>
      </c>
      <c r="E7" s="8">
        <f>INT(A5)+1</f>
        <v>4</v>
      </c>
      <c r="F7" s="15">
        <f>(Q17)</f>
        <v>57.140198389677089</v>
      </c>
      <c r="G7" s="11"/>
      <c r="H7" s="2">
        <f>IF(F5&lt;0,1,-1)</f>
        <v>1</v>
      </c>
      <c r="I7" s="11"/>
      <c r="J7" s="11"/>
      <c r="K7" s="11"/>
      <c r="L7" s="11"/>
      <c r="M7" s="11">
        <f>(N6+P4*2)</f>
        <v>192.79712823099393</v>
      </c>
      <c r="N7" s="11">
        <f>(N5+M7)/2</f>
        <v>212.81160348355024</v>
      </c>
      <c r="O7" s="11">
        <f>(N6+J4)/2</f>
        <v>377.06218011549697</v>
      </c>
      <c r="P7" s="2">
        <f>IF(Q17&gt;1,-1,1)</f>
        <v>-1</v>
      </c>
      <c r="Q7" s="12">
        <f>F15-F12</f>
        <v>-1.4509819425960835</v>
      </c>
      <c r="R7" s="6">
        <f>R5^2</f>
        <v>919.66627600000004</v>
      </c>
      <c r="S7" s="7"/>
      <c r="T7" s="17">
        <f>AG7</f>
        <v>212.22782204419883</v>
      </c>
      <c r="U7" s="3">
        <f>Z13</f>
        <v>12253.261629998173</v>
      </c>
      <c r="V7" s="4">
        <f>(U7/T5)</f>
        <v>3382.1114066880045</v>
      </c>
      <c r="W7" s="4">
        <f>(T5*V7)</f>
        <v>12253.261629998173</v>
      </c>
      <c r="X7" s="8">
        <f>INT(T5)+1</f>
        <v>4</v>
      </c>
      <c r="Y7" s="15">
        <f>(AJ17)</f>
        <v>0.97004956231373074</v>
      </c>
      <c r="Z7" s="11"/>
      <c r="AA7" s="2">
        <f>IF(Y5&lt;0,1,-1)</f>
        <v>1</v>
      </c>
      <c r="AB7" s="11"/>
      <c r="AC7" s="11"/>
      <c r="AD7" s="11"/>
      <c r="AE7" s="11"/>
      <c r="AF7" s="11">
        <f>(AG6+AI4*2)</f>
        <v>192.32796839585282</v>
      </c>
      <c r="AG7" s="11">
        <f>(AG5+AF7)/2</f>
        <v>212.22782204419883</v>
      </c>
      <c r="AH7" s="11">
        <f>(AG6+AC4)/2</f>
        <v>374.94974319792647</v>
      </c>
      <c r="AI7" s="2">
        <f>IF(AJ17&gt;1,-1,1)</f>
        <v>1</v>
      </c>
      <c r="AJ7" s="12">
        <f>Y15-Y12</f>
        <v>-1.1789813700309661</v>
      </c>
      <c r="AK7" s="6">
        <f>AK5^2</f>
        <v>919.66627600000004</v>
      </c>
      <c r="AL7" s="7"/>
    </row>
    <row r="8" spans="1:38" ht="15.75" thickBot="1" x14ac:dyDescent="0.3">
      <c r="A8" s="17">
        <f>(O6+O5)+A4</f>
        <v>244.35980890257153</v>
      </c>
      <c r="B8" s="18">
        <f>(A6+B6)/2</f>
        <v>227.82245992296748</v>
      </c>
      <c r="C8" s="8">
        <f>(C6)</f>
        <v>4.3876110153542766E-4</v>
      </c>
      <c r="D8" s="4">
        <f>(D5*D6*D7*B7*A5)</f>
        <v>7.6796718355153871E+21</v>
      </c>
      <c r="E8" s="4">
        <f>(C8*A5)</f>
        <v>1.3395310968359667E-3</v>
      </c>
      <c r="F8" s="11">
        <f>(F10/O10)*O11-F11</f>
        <v>61.451186820141004</v>
      </c>
      <c r="G8" s="11"/>
      <c r="H8" s="11"/>
      <c r="I8" s="11"/>
      <c r="J8" s="11"/>
      <c r="K8" s="11"/>
      <c r="L8" s="11"/>
      <c r="M8" s="11"/>
      <c r="N8" s="12">
        <f>(F8+Q17)*F11</f>
        <v>-6776.3352781956237</v>
      </c>
      <c r="O8" s="21">
        <f>H7</f>
        <v>1</v>
      </c>
      <c r="P8" s="21">
        <f>IF(Q17&lt;100,1,-1)</f>
        <v>1</v>
      </c>
      <c r="Q8" s="5">
        <f>Q7+F15</f>
        <v>2.4629082933817124</v>
      </c>
      <c r="R8" s="5"/>
      <c r="S8" s="7"/>
      <c r="T8" s="17">
        <f>(AH6+AH5)+T4</f>
        <v>243.88908359415487</v>
      </c>
      <c r="U8" s="18">
        <f>(T6+U6)/2</f>
        <v>227.15271228045836</v>
      </c>
      <c r="V8" s="8">
        <f>(V6)</f>
        <v>2.95673288000666E-4</v>
      </c>
      <c r="W8" s="4">
        <f>(W5*W6*W7*U7*T5)</f>
        <v>2.4659124059726192E+23</v>
      </c>
      <c r="X8" s="4">
        <f>(V8*T5)</f>
        <v>1.0712131326335618E-3</v>
      </c>
      <c r="Y8" s="11">
        <f>(Y10/AH10)*AH11-Y11</f>
        <v>4.6642663394541186</v>
      </c>
      <c r="Z8" s="11"/>
      <c r="AA8" s="11"/>
      <c r="AB8" s="11"/>
      <c r="AC8" s="11"/>
      <c r="AD8" s="11"/>
      <c r="AE8" s="11"/>
      <c r="AF8" s="11"/>
      <c r="AG8" s="12">
        <f>(Y8+AJ17)*Y11</f>
        <v>-5.4655656744471957</v>
      </c>
      <c r="AH8" s="2">
        <f>AA7</f>
        <v>1</v>
      </c>
      <c r="AI8" s="2">
        <f>IF(AJ17&lt;100,1,-1)</f>
        <v>1</v>
      </c>
      <c r="AJ8" s="12">
        <f>AJ7+Y15</f>
        <v>3.6805650695803305</v>
      </c>
      <c r="AK8" s="16"/>
      <c r="AL8" s="7"/>
    </row>
    <row r="9" spans="1:38" ht="15.75" thickBot="1" x14ac:dyDescent="0.3">
      <c r="A9" s="17">
        <f>(O6*-1-O5)+A4</f>
        <v>204.33085839745891</v>
      </c>
      <c r="B9" s="4">
        <f>(B6+B5)/2</f>
        <v>220.31703170325886</v>
      </c>
      <c r="C9" s="4">
        <f>(B5+A7)/2</f>
        <v>215.31341289011976</v>
      </c>
      <c r="D9" s="4">
        <f>D5</f>
        <v>3207360166.4247518</v>
      </c>
      <c r="E9" s="4">
        <f>(B6+A4)/2</f>
        <v>223.5820873799218</v>
      </c>
      <c r="F9" s="11">
        <f>(F11/O11)</f>
        <v>-15.468983736690625</v>
      </c>
      <c r="G9" s="11"/>
      <c r="H9" s="81">
        <v>0.51</v>
      </c>
      <c r="I9" s="62"/>
      <c r="J9" s="62"/>
      <c r="K9" s="62"/>
      <c r="L9" s="62"/>
      <c r="M9" s="62"/>
      <c r="N9" s="63">
        <v>0.9</v>
      </c>
      <c r="O9" s="21">
        <f>H5</f>
        <v>1</v>
      </c>
      <c r="P9" s="21">
        <f>IF(Q17&lt;0,-1,1)</f>
        <v>1</v>
      </c>
      <c r="Q9" s="59">
        <f>(Q11*(N9+H9+N10+H10)*4)</f>
        <v>924.95091178901396</v>
      </c>
      <c r="R9" s="64">
        <f>(O16+F18+O18)/3</f>
        <v>1409.1282078621518</v>
      </c>
      <c r="S9" s="7"/>
      <c r="T9" s="17">
        <f>(AH6*-1-AH5)+T4</f>
        <v>204.08937629746279</v>
      </c>
      <c r="U9" s="4">
        <f>(U6+U5)/2</f>
        <v>219.69026716232861</v>
      </c>
      <c r="V9" s="4">
        <f>(U5+T7)/2</f>
        <v>214.71530375024207</v>
      </c>
      <c r="W9" s="4">
        <f>W5</f>
        <v>16252746700.794586</v>
      </c>
      <c r="X9" s="4">
        <f>(U6+T4)/2</f>
        <v>223.08348940709033</v>
      </c>
      <c r="Y9" s="11">
        <f>(Y11/AH11)</f>
        <v>-0.46343098279790557</v>
      </c>
      <c r="Z9" s="11"/>
      <c r="AA9" s="11"/>
      <c r="AB9" s="11"/>
      <c r="AC9" s="11"/>
      <c r="AD9" s="11"/>
      <c r="AE9" s="11"/>
      <c r="AF9" s="11"/>
      <c r="AG9" s="11"/>
      <c r="AH9" s="2">
        <f>AA5</f>
        <v>1</v>
      </c>
      <c r="AI9" s="2">
        <f>IF(AJ17&lt;0,-1,1)</f>
        <v>1</v>
      </c>
      <c r="AJ9" s="19">
        <f>Q9</f>
        <v>924.95091178901396</v>
      </c>
      <c r="AK9" s="20" t="s">
        <v>1</v>
      </c>
      <c r="AL9" s="7"/>
    </row>
    <row r="10" spans="1:38" ht="15.75" thickBot="1" x14ac:dyDescent="0.3">
      <c r="A10" s="8">
        <f>(A9-A8)+A4-A6</f>
        <v>-48.50969559120395</v>
      </c>
      <c r="B10" s="8">
        <f>(A10*-1)+A11</f>
        <v>20.014475252556309</v>
      </c>
      <c r="C10" s="8">
        <f>(B10/2)+A5</f>
        <v>13.0602227066518</v>
      </c>
      <c r="D10" s="8">
        <f>(C18+C11+B17+B10+A5)*-1</f>
        <v>7.5308351159537139</v>
      </c>
      <c r="E10" s="8">
        <f>(C10*A5)*D10</f>
        <v>300.27446627404765</v>
      </c>
      <c r="F10" s="2">
        <f>(E10*A5)</f>
        <v>916.73346555182673</v>
      </c>
      <c r="G10" s="2">
        <f>(F10+E10)</f>
        <v>1217.0079318258745</v>
      </c>
      <c r="H10" s="82">
        <v>0.1797</v>
      </c>
      <c r="I10" s="11"/>
      <c r="J10" s="11"/>
      <c r="K10" s="11"/>
      <c r="L10" s="11"/>
      <c r="M10" s="11"/>
      <c r="N10" s="65">
        <v>0.32600000000000001</v>
      </c>
      <c r="O10" s="5">
        <v>785.5</v>
      </c>
      <c r="P10" s="21">
        <f>IF(N8&gt;-1,1,-1)</f>
        <v>-1</v>
      </c>
      <c r="Q10" s="2">
        <f>N9</f>
        <v>0.9</v>
      </c>
      <c r="R10" s="22">
        <f>(F19+H14+O18)/3</f>
        <v>1673.4369925264627</v>
      </c>
      <c r="S10" s="7"/>
      <c r="T10" s="8">
        <f>(T9-T8)+T4-T6</f>
        <v>-47.938153043428116</v>
      </c>
      <c r="U10" s="8">
        <f>(T10*-1)+T11</f>
        <v>19.899853648346038</v>
      </c>
      <c r="V10" s="8">
        <f>(U10/2)+T5</f>
        <v>13.572888979046979</v>
      </c>
      <c r="W10" s="8">
        <f>(V18+V11+U17+U10+T5)*-1</f>
        <v>7.7814371719407944</v>
      </c>
      <c r="X10" s="8">
        <f>(V10*T5)*W10</f>
        <v>382.64488252810509</v>
      </c>
      <c r="Y10" s="2">
        <f>(X10*T5)</f>
        <v>1386.3079281555169</v>
      </c>
      <c r="Z10" s="2">
        <f>(Y10+X10)</f>
        <v>1768.9528106836219</v>
      </c>
      <c r="AA10" s="11"/>
      <c r="AB10" s="11"/>
      <c r="AC10" s="11"/>
      <c r="AD10" s="11"/>
      <c r="AE10" s="11"/>
      <c r="AF10" s="11"/>
      <c r="AG10" s="11"/>
      <c r="AH10" s="11">
        <v>785.5</v>
      </c>
      <c r="AI10" s="2">
        <f>IF(AG8&gt;-1,1,-1)</f>
        <v>-1</v>
      </c>
      <c r="AJ10" s="21">
        <f>H9</f>
        <v>0.51</v>
      </c>
      <c r="AK10" s="22">
        <f>(Y19+AA14)/2</f>
        <v>1586.6198863451837</v>
      </c>
      <c r="AL10" s="7"/>
    </row>
    <row r="11" spans="1:38" ht="24" thickBot="1" x14ac:dyDescent="0.4">
      <c r="A11" s="8">
        <f>(A9-A8)+A4-A7</f>
        <v>-28.495220338647641</v>
      </c>
      <c r="B11" s="8">
        <f>A12+(A11*-1)+A10</f>
        <v>-97.019391182407901</v>
      </c>
      <c r="C11" s="4">
        <f>(B11/10)</f>
        <v>-9.7019391182407908</v>
      </c>
      <c r="D11" s="4"/>
      <c r="E11" s="4"/>
      <c r="F11" s="11">
        <f>(Q17*-1)</f>
        <v>-57.140198389677089</v>
      </c>
      <c r="G11" s="11"/>
      <c r="H11" s="83"/>
      <c r="I11" s="66"/>
      <c r="J11" s="66"/>
      <c r="K11" s="66"/>
      <c r="L11" s="66"/>
      <c r="M11" s="66"/>
      <c r="N11" s="67" t="str">
        <f>IF((R12+AK12+AK80+R80)/4&gt;1,"S","L")</f>
        <v>S</v>
      </c>
      <c r="O11" s="5">
        <f>(H19/1000)*8.9</f>
        <v>3.6938560000000003</v>
      </c>
      <c r="P11" s="21">
        <f>(P13+O15)/2</f>
        <v>900.60518877767117</v>
      </c>
      <c r="Q11" s="68">
        <f>(R14+S14+S12+S11)/4</f>
        <v>120.70664923905281</v>
      </c>
      <c r="R11" s="22">
        <f>(P14+P13)/2</f>
        <v>905.74779700228635</v>
      </c>
      <c r="S11" s="60">
        <f>(R14+S14+S12+H2+H1+A3)/6</f>
        <v>89.706596956211229</v>
      </c>
      <c r="T11" s="8">
        <f>(T9-T8)+T4-T7</f>
        <v>-28.038299395082078</v>
      </c>
      <c r="U11" s="8">
        <f>T12+(T11*-1)+T10</f>
        <v>-95.876306086856232</v>
      </c>
      <c r="V11" s="4">
        <f>(U11/10)</f>
        <v>-9.5876306086856236</v>
      </c>
      <c r="W11" s="4"/>
      <c r="X11" s="4"/>
      <c r="Y11" s="11">
        <f>(AJ17*-1)</f>
        <v>-0.97004956231373074</v>
      </c>
      <c r="Z11" s="11"/>
      <c r="AA11" s="11"/>
      <c r="AB11" s="11"/>
      <c r="AC11" s="11"/>
      <c r="AD11" s="11"/>
      <c r="AE11" s="11"/>
      <c r="AF11" s="11"/>
      <c r="AG11" s="11"/>
      <c r="AH11" s="11">
        <f>(AA19/1000)*8.9</f>
        <v>2.093191</v>
      </c>
      <c r="AI11" s="2">
        <f>(AI13+AH15)/2</f>
        <v>899.48569656773452</v>
      </c>
      <c r="AJ11" s="23" t="s">
        <v>2</v>
      </c>
      <c r="AK11" s="22">
        <f>(AI14+AI13)/2</f>
        <v>904.60698243311776</v>
      </c>
      <c r="AL11" s="7"/>
    </row>
    <row r="12" spans="1:38" ht="23.25" x14ac:dyDescent="0.35">
      <c r="A12" s="8">
        <f>(A11+A10)</f>
        <v>-77.004915929851592</v>
      </c>
      <c r="B12" s="4"/>
      <c r="C12" s="4">
        <f>((F12+E12*-1)+E16)*10-A5+O12*-1-C8*111</f>
        <v>10.61000045231939</v>
      </c>
      <c r="D12" s="4"/>
      <c r="E12" s="4">
        <f>(E16+O12+F12)</f>
        <v>-0.18553469735393247</v>
      </c>
      <c r="F12" s="11">
        <f>(O12*E16)</f>
        <v>5.3648721785738793</v>
      </c>
      <c r="G12" s="11"/>
      <c r="H12" s="21">
        <f>(P13+H13)/2</f>
        <v>687.2752533103519</v>
      </c>
      <c r="I12" s="11"/>
      <c r="J12" s="11"/>
      <c r="K12" s="11"/>
      <c r="L12" s="11"/>
      <c r="M12" s="11"/>
      <c r="N12" s="11">
        <f>(A8-A4)-(A4-B9)</f>
        <v>15.986173305799952</v>
      </c>
      <c r="O12" s="21">
        <f>(P12+A5+C8*10)</f>
        <v>-1.2465170922694062</v>
      </c>
      <c r="P12" s="5">
        <f>E16</f>
        <v>-4.3038897836584056</v>
      </c>
      <c r="Q12" s="5">
        <f>(Q8*Q7*10)</f>
        <v>-35.736354599670015</v>
      </c>
      <c r="R12" s="69">
        <f>(P23+O23+P25+O25+N25+P24+O24+N24+H26+F26+E26+E25+F25+H25+H24+F24+E24+E23+F23+H23)</f>
        <v>0</v>
      </c>
      <c r="S12" s="60">
        <f>C1</f>
        <v>134.48500000000001</v>
      </c>
      <c r="T12" s="8">
        <f>(T11+T10)</f>
        <v>-75.976452438510194</v>
      </c>
      <c r="U12" s="4"/>
      <c r="V12" s="4">
        <f>((Y12+X12*-1)+X16)*10-T5+AH12*-1-V8*111</f>
        <v>9.9928434317157162</v>
      </c>
      <c r="W12" s="4"/>
      <c r="X12" s="4">
        <f>(X16+AH12+Y12)</f>
        <v>-6.8959318394931302E-2</v>
      </c>
      <c r="Y12" s="11">
        <f>(AH12*X16)</f>
        <v>6.0385278096422628</v>
      </c>
      <c r="Z12" s="11"/>
      <c r="AA12" s="21">
        <f>(AI13+AA13)/2</f>
        <v>686.38755168110902</v>
      </c>
      <c r="AB12" s="11"/>
      <c r="AC12" s="11"/>
      <c r="AD12" s="11"/>
      <c r="AE12" s="11"/>
      <c r="AF12" s="11"/>
      <c r="AG12" s="11">
        <f>(T8-T4)-(T4-U9)</f>
        <v>15.600890864865818</v>
      </c>
      <c r="AH12" s="2">
        <f>(AI12+T5+V8*10)</f>
        <v>-1.2407841201416137</v>
      </c>
      <c r="AI12" s="11">
        <f>X16</f>
        <v>-4.8667030078955804</v>
      </c>
      <c r="AJ12" s="12">
        <f>(AJ8*AJ7*10)</f>
        <v>-43.39317648221936</v>
      </c>
      <c r="AK12" s="24">
        <f>(AI23+AH23+AI25+AH25+AG25+AI24+AH24+AG24+AA26+Y26+X26+X25+Y25+AA25+AA24+Y24+X24+X23+Y23+AA23)</f>
        <v>2</v>
      </c>
      <c r="AL12" s="7"/>
    </row>
    <row r="13" spans="1:38" ht="18.75" x14ac:dyDescent="0.3">
      <c r="A13" s="8">
        <f>(A4+A12)</f>
        <v>147.34041772016363</v>
      </c>
      <c r="B13" s="4">
        <f>(A4+A13)/2</f>
        <v>185.84287568508944</v>
      </c>
      <c r="C13" s="4">
        <f>(E9-A4)-(A4-B13)</f>
        <v>-39.2657042350192</v>
      </c>
      <c r="D13" s="8">
        <f>(B9+C9)/2</f>
        <v>217.81522229668931</v>
      </c>
      <c r="E13" s="8">
        <f>(A8+A14)</f>
        <v>449.45391357012386</v>
      </c>
      <c r="F13" s="21">
        <f>(G10*2)-G17</f>
        <v>2279.1446108156315</v>
      </c>
      <c r="G13" s="21">
        <f>(A5*F13)</f>
        <v>6958.1944928341209</v>
      </c>
      <c r="H13" s="21">
        <f>(N15+P13)/2</f>
        <v>458.51749316918716</v>
      </c>
      <c r="I13" s="21"/>
      <c r="J13" s="21"/>
      <c r="K13" s="21"/>
      <c r="L13" s="21"/>
      <c r="M13" s="21"/>
      <c r="N13" s="25">
        <f>(O13+O14)/2</f>
        <v>929.67398156842842</v>
      </c>
      <c r="O13" s="70">
        <f>(A7+C9)/2*Q18/Q10</f>
        <v>880.03475587921059</v>
      </c>
      <c r="P13" s="71">
        <f>B6*Q18/Q10</f>
        <v>916.03301345151669</v>
      </c>
      <c r="Q13" s="4">
        <f>(A9+B6)/2</f>
        <v>213.57484975364366</v>
      </c>
      <c r="R13" s="8">
        <f>(F19+F18+F16+F14)/4.79</f>
        <v>1104.8320135240119</v>
      </c>
      <c r="S13" s="72">
        <f>((((S15/10)+Q11)/2-R14*-1)+Q11+S14+R14)/4.96</f>
        <v>127.88325060132973</v>
      </c>
      <c r="T13" s="8">
        <f>(T4+T12)</f>
        <v>148.01277750729864</v>
      </c>
      <c r="U13" s="4">
        <f>(T4+T13)/2</f>
        <v>186.00100372655373</v>
      </c>
      <c r="V13" s="4">
        <f>(X9-T4)-(T4-U13)</f>
        <v>-38.893966757973601</v>
      </c>
      <c r="W13" s="8">
        <f>(U9+V9)/2</f>
        <v>217.20278545628534</v>
      </c>
      <c r="X13" s="8">
        <f>(T8+T14)</f>
        <v>448.88420043033614</v>
      </c>
      <c r="Y13" s="21">
        <f>(Z10*2)-Z17</f>
        <v>3382.1114066880045</v>
      </c>
      <c r="Z13" s="21">
        <f>(T5*Y13)</f>
        <v>12253.261629998173</v>
      </c>
      <c r="AA13" s="21">
        <f>(AG15+AI13)/2</f>
        <v>457.92554919833395</v>
      </c>
      <c r="AB13" s="21"/>
      <c r="AC13" s="21"/>
      <c r="AD13" s="21"/>
      <c r="AE13" s="21"/>
      <c r="AF13" s="21"/>
      <c r="AG13" s="25">
        <f>(AH13+AH14)/2</f>
        <v>928.58514879366987</v>
      </c>
      <c r="AH13" s="26">
        <f>(T7+V9)/2*AJ18/AJ10</f>
        <v>879.00055310620189</v>
      </c>
      <c r="AI13" s="27">
        <f>U6*AJ18/AJ10</f>
        <v>914.84955416388414</v>
      </c>
      <c r="AJ13" s="5">
        <f>(T9+U6)/2</f>
        <v>213.13356258291731</v>
      </c>
      <c r="AK13" s="2"/>
      <c r="AL13" s="7"/>
    </row>
    <row r="14" spans="1:38" ht="21" x14ac:dyDescent="0.35">
      <c r="A14" s="8">
        <f>((A9+A8+A7+A6)/4-A9-A4)*-1</f>
        <v>205.09410466755233</v>
      </c>
      <c r="B14" s="4">
        <f>(B9+C9)/2</f>
        <v>217.81522229668931</v>
      </c>
      <c r="C14" s="4">
        <f>(E16+A5)</f>
        <v>-1.2509047032847604</v>
      </c>
      <c r="D14" s="8">
        <f>(A16+D15+A8+D15)/2</f>
        <v>379.150792865082</v>
      </c>
      <c r="E14" s="8">
        <f>(A9+D15+A8)/3</f>
        <v>201.10177164919128</v>
      </c>
      <c r="F14" s="21">
        <f>(O14+P13)/2</f>
        <v>947.67311035458147</v>
      </c>
      <c r="G14" s="5"/>
      <c r="H14" s="21">
        <f>(O14+P13+N13)/3</f>
        <v>941.67340075919708</v>
      </c>
      <c r="I14" s="21"/>
      <c r="J14" s="21"/>
      <c r="K14" s="21"/>
      <c r="L14" s="21"/>
      <c r="M14" s="21"/>
      <c r="N14" s="28">
        <f>((A14+A8)/2)*Q18/Q10</f>
        <v>923.87748900525469</v>
      </c>
      <c r="O14" s="73">
        <f>((A15+A6)/2)*Q18/Q10</f>
        <v>979.31320725764635</v>
      </c>
      <c r="P14" s="74">
        <f>B5*Q18/Q10</f>
        <v>895.462580553056</v>
      </c>
      <c r="Q14" s="4">
        <f>A5+E16</f>
        <v>-1.2509047032847604</v>
      </c>
      <c r="R14" s="75">
        <f>A1</f>
        <v>134.44499999999999</v>
      </c>
      <c r="S14" s="76">
        <f>B1</f>
        <v>124.19</v>
      </c>
      <c r="T14" s="8">
        <f>((T9+T8+T7+T6)/4-T9-T4)*-1</f>
        <v>204.9951168361813</v>
      </c>
      <c r="U14" s="4">
        <f>(U9+V9)/2</f>
        <v>217.20278545628534</v>
      </c>
      <c r="V14" s="4">
        <f>(X16+T5)</f>
        <v>-1.2437408530216203</v>
      </c>
      <c r="W14" s="8">
        <f>(T16+W15+T8+W15)/2</f>
        <v>378.91458800637707</v>
      </c>
      <c r="X14" s="8">
        <f>(T9+W15+T8)/3</f>
        <v>200.89246093916879</v>
      </c>
      <c r="Y14" s="21">
        <f>(AH14+AI13)/2</f>
        <v>946.509649322511</v>
      </c>
      <c r="Z14" s="5"/>
      <c r="AA14" s="21">
        <f>(AH14+AI13+AG13)/3</f>
        <v>940.53481581289725</v>
      </c>
      <c r="AB14" s="21"/>
      <c r="AC14" s="21"/>
      <c r="AD14" s="21"/>
      <c r="AE14" s="21"/>
      <c r="AF14" s="21"/>
      <c r="AG14" s="28">
        <f>((T14+T8)/2)*AJ18/AJ10</f>
        <v>924.1733538271626</v>
      </c>
      <c r="AH14" s="29">
        <f>((T15+T6)/2)*AJ18/AJ10</f>
        <v>978.16974448113785</v>
      </c>
      <c r="AI14" s="30">
        <f>U5*AJ18/AJ10</f>
        <v>894.36441070235139</v>
      </c>
      <c r="AJ14" s="12">
        <f>T5+X16</f>
        <v>-1.2437408530216203</v>
      </c>
      <c r="AK14" s="2"/>
      <c r="AL14" s="7"/>
    </row>
    <row r="15" spans="1:38" ht="21" x14ac:dyDescent="0.35">
      <c r="A15" s="8">
        <f>((A9+A8+A7+A6)/4-A9-A4*-1)</f>
        <v>243.59656263247811</v>
      </c>
      <c r="B15" s="4">
        <f>B6/2</f>
        <v>111.40942055491419</v>
      </c>
      <c r="C15" s="4">
        <f>(B5+C9)/2</f>
        <v>216.56431759340455</v>
      </c>
      <c r="D15" s="8">
        <f>(A14+A13+B15)/3</f>
        <v>154.61464764754339</v>
      </c>
      <c r="E15" s="8">
        <f>(A9+A8+B15)/3</f>
        <v>186.70002928498153</v>
      </c>
      <c r="F15" s="5">
        <f>E12+(C19*-1)-E12-E16</f>
        <v>3.9138902359777958</v>
      </c>
      <c r="G15" s="5"/>
      <c r="H15" s="21">
        <f>(P15+N15)/2</f>
        <v>321.69304509764828</v>
      </c>
      <c r="I15" s="5"/>
      <c r="J15" s="5"/>
      <c r="K15" s="5"/>
      <c r="L15" s="5"/>
      <c r="M15" s="5"/>
      <c r="N15" s="28">
        <f>((N14+N13)/2/Q9)</f>
        <v>1.0019728868576367</v>
      </c>
      <c r="O15" s="73">
        <f>((A7+D13)/2)*Q18/Q10</f>
        <v>885.17736410382577</v>
      </c>
      <c r="P15" s="74">
        <f>((B15+E14)/2)*Q18/Q10</f>
        <v>642.38411730843893</v>
      </c>
      <c r="Q15" s="4">
        <f>(Q14*Q12/10)</f>
        <v>4.4702774046979208</v>
      </c>
      <c r="R15" s="8">
        <f>(R14+R13+F19)/3</f>
        <v>1156.719870777898</v>
      </c>
      <c r="S15" s="77">
        <f>(R10+R11+R9+F16+O19)/5</f>
        <v>1203.2189824803258</v>
      </c>
      <c r="T15" s="8">
        <f>((T9+T8+T7+T6)/4-T9-T4*-1)</f>
        <v>242.98334305543636</v>
      </c>
      <c r="U15" s="4">
        <f>U6/2</f>
        <v>111.08887443418593</v>
      </c>
      <c r="V15" s="4">
        <f>(U5+V9)/2</f>
        <v>215.95904460326369</v>
      </c>
      <c r="W15" s="8">
        <f>(T14+T13+U15)/3</f>
        <v>154.69892292588864</v>
      </c>
      <c r="X15" s="8">
        <f>(T9+T8+U15)/3</f>
        <v>186.35577810860119</v>
      </c>
      <c r="Y15" s="5">
        <f>X12+(V19*-1)-X12-X16</f>
        <v>4.8595464396112966</v>
      </c>
      <c r="Z15" s="5"/>
      <c r="AA15" s="21">
        <f>(AI15+AG15)/2</f>
        <v>321.65802911837466</v>
      </c>
      <c r="AB15" s="5"/>
      <c r="AC15" s="5"/>
      <c r="AD15" s="5"/>
      <c r="AE15" s="5"/>
      <c r="AF15" s="5"/>
      <c r="AG15" s="28">
        <f>((AG14+AG13)/2/AJ9)</f>
        <v>1.0015442327838131</v>
      </c>
      <c r="AH15" s="29">
        <f>((T7+W13)/2)*AJ18/AJ10</f>
        <v>884.12183897158502</v>
      </c>
      <c r="AI15" s="30">
        <f>((U15+X14)/2)*AJ18/AJ10</f>
        <v>642.31451400396554</v>
      </c>
      <c r="AJ15" s="12">
        <f>(AJ14*AJ12/10)</f>
        <v>5.3969866333313217</v>
      </c>
      <c r="AK15" s="2">
        <f>(AK14+AK13+Y19)/3</f>
        <v>744.23498562582336</v>
      </c>
      <c r="AL15" s="7"/>
    </row>
    <row r="16" spans="1:38" x14ac:dyDescent="0.25">
      <c r="A16" s="8">
        <f>(A9+A14)/2</f>
        <v>204.71248153250562</v>
      </c>
      <c r="B16" s="4">
        <f>(A6+B8)/2</f>
        <v>230.324269329537</v>
      </c>
      <c r="C16" s="4">
        <f>(A5*C8)</f>
        <v>1.3395310968359667E-3</v>
      </c>
      <c r="D16" s="4">
        <f>(A6+B16)/2</f>
        <v>231.57517403282179</v>
      </c>
      <c r="E16" s="4">
        <f>(D16-A4)-(A4-A7)</f>
        <v>-4.3038897836584056</v>
      </c>
      <c r="F16" s="21">
        <f>(N16+H16)/2</f>
        <v>960.70389324762004</v>
      </c>
      <c r="G16" s="5"/>
      <c r="H16" s="31">
        <f>A15*Q18/Q10</f>
        <v>1001.4525352668545</v>
      </c>
      <c r="I16" s="5"/>
      <c r="J16" s="5"/>
      <c r="K16" s="5"/>
      <c r="L16" s="5"/>
      <c r="M16" s="5"/>
      <c r="N16" s="28">
        <f>(N14+P13)/2</f>
        <v>919.95525122838569</v>
      </c>
      <c r="O16" s="73">
        <f>((E13+A13)/2)*Q18/Q10</f>
        <v>1226.743903207813</v>
      </c>
      <c r="P16" s="74">
        <f>((E14+E16/10)/2)*Q18/Q10</f>
        <v>412.49117549003012</v>
      </c>
      <c r="Q16" s="8">
        <f>(Q15+C19)</f>
        <v>4.8602769523785305</v>
      </c>
      <c r="R16" s="8"/>
      <c r="S16" s="51"/>
      <c r="T16" s="8">
        <f>(T9+T14)/2</f>
        <v>204.54224656682203</v>
      </c>
      <c r="U16" s="4">
        <f>(T6+U8)/2</f>
        <v>229.64019398650163</v>
      </c>
      <c r="V16" s="4">
        <f>(T5*V8)</f>
        <v>1.0712131326335618E-3</v>
      </c>
      <c r="W16" s="4">
        <f>(T6+U16)/2</f>
        <v>230.88393483952325</v>
      </c>
      <c r="X16" s="4">
        <f>(W16-T4)-(T4-T7)</f>
        <v>-4.8667030078955804</v>
      </c>
      <c r="Y16" s="21">
        <f>(AG16+AA16)/2</f>
        <v>960.01555093542493</v>
      </c>
      <c r="Z16" s="5"/>
      <c r="AA16" s="31">
        <f>T15*AJ18/AJ10</f>
        <v>1000.5196478753263</v>
      </c>
      <c r="AB16" s="5"/>
      <c r="AC16" s="5"/>
      <c r="AD16" s="5"/>
      <c r="AE16" s="5"/>
      <c r="AF16" s="5"/>
      <c r="AG16" s="28">
        <f>(AG14+AI13)/2</f>
        <v>919.51145399552342</v>
      </c>
      <c r="AH16" s="29">
        <f>((X13+T13)/2)*AJ18/AJ10</f>
        <v>1228.9055428127776</v>
      </c>
      <c r="AI16" s="30">
        <f>((X14+X16/10)/2)*AJ18/AJ10</f>
        <v>412.60015719666308</v>
      </c>
      <c r="AJ16" s="8">
        <f>(AJ15+V19)</f>
        <v>5.4041432016156055</v>
      </c>
      <c r="AK16" s="2"/>
      <c r="AL16" s="7"/>
    </row>
    <row r="17" spans="1:38" x14ac:dyDescent="0.25">
      <c r="A17" s="8">
        <f>(A5*-1)+A12</f>
        <v>-80.057901010225237</v>
      </c>
      <c r="B17" s="8">
        <f>(A18*-1)+A17</f>
        <v>-6.1059701607472903</v>
      </c>
      <c r="C17" s="8">
        <f>(B17/2)+A5</f>
        <v>0</v>
      </c>
      <c r="D17" s="4"/>
      <c r="E17" s="8">
        <f>(C17*A5)+D10</f>
        <v>7.5308351159537139</v>
      </c>
      <c r="F17" s="21">
        <f>A13*Q18/Q18</f>
        <v>147.34041772016363</v>
      </c>
      <c r="G17" s="21">
        <f>(E17+F17)</f>
        <v>154.87125283611735</v>
      </c>
      <c r="H17" s="5">
        <f>(O18+H15)/2</f>
        <v>1084.7240115540787</v>
      </c>
      <c r="I17" s="5"/>
      <c r="J17" s="5"/>
      <c r="K17" s="5"/>
      <c r="L17" s="5"/>
      <c r="M17" s="5"/>
      <c r="N17" s="32">
        <f>(O14+H14+O14)/3</f>
        <v>966.76660509149667</v>
      </c>
      <c r="O17" s="73">
        <f>((B8+E16)/2)*Q18/Q10</f>
        <v>459.45483861969092</v>
      </c>
      <c r="P17" s="74">
        <f>D13*Q18/Q10</f>
        <v>895.462580553056</v>
      </c>
      <c r="Q17" s="4">
        <f>((Q16*Q15*C19*-1)*Q18*Q7*Q8)*0.51</f>
        <v>57.140198389677089</v>
      </c>
      <c r="R17" s="8"/>
      <c r="S17" s="51"/>
      <c r="T17" s="8">
        <f>(T5*-1)+T12</f>
        <v>-79.599414593384154</v>
      </c>
      <c r="U17" s="8">
        <f>(T18*-1)+T17</f>
        <v>-7.2459243097479202</v>
      </c>
      <c r="V17" s="8">
        <f>(U17/2)+T5</f>
        <v>0</v>
      </c>
      <c r="W17" s="4"/>
      <c r="X17" s="8">
        <f>(V17*T5)+W10</f>
        <v>7.7814371719407944</v>
      </c>
      <c r="Y17" s="21">
        <f>T13*AJ18/AJ18</f>
        <v>148.01277750729864</v>
      </c>
      <c r="Z17" s="21">
        <f>(X17+Y17)</f>
        <v>155.79421467923942</v>
      </c>
      <c r="AA17" s="5">
        <f>(AH18+AA15)/2</f>
        <v>1085.0023683863499</v>
      </c>
      <c r="AB17" s="5"/>
      <c r="AC17" s="5"/>
      <c r="AD17" s="5"/>
      <c r="AE17" s="5"/>
      <c r="AF17" s="5"/>
      <c r="AG17" s="32">
        <f>(AH14+AA14+AH14)/3</f>
        <v>965.6247682583911</v>
      </c>
      <c r="AH17" s="29">
        <f>((U8+X16)/2)*AJ18/AJ10</f>
        <v>457.64766614939396</v>
      </c>
      <c r="AI17" s="30">
        <f>W13*AJ18/AJ10</f>
        <v>894.36441070235139</v>
      </c>
      <c r="AJ17" s="9">
        <f>((AJ16*AJ15*V19*-1)*AJ18*AJ7*AJ8)*0.51</f>
        <v>0.97004956231373074</v>
      </c>
      <c r="AK17" s="2"/>
      <c r="AL17" s="7"/>
    </row>
    <row r="18" spans="1:38" x14ac:dyDescent="0.25">
      <c r="A18" s="8">
        <f>A5+A12</f>
        <v>-73.951930849477947</v>
      </c>
      <c r="B18" s="8">
        <f>(A19+(A17*-1)+A18)</f>
        <v>-147.90386169895589</v>
      </c>
      <c r="C18" s="4">
        <f>(B18/10)</f>
        <v>-14.790386169895589</v>
      </c>
      <c r="D18" s="4"/>
      <c r="E18" s="4">
        <f>((D14+B15)/2)*Q18</f>
        <v>907.53639482699305</v>
      </c>
      <c r="F18" s="5">
        <f>((E13+B15)/2)*Q18/Q10</f>
        <v>1152.8857423681336</v>
      </c>
      <c r="G18" s="5"/>
      <c r="H18" s="5">
        <f>(Q19/2)</f>
        <v>415.03886725252818</v>
      </c>
      <c r="I18" s="5"/>
      <c r="J18" s="5"/>
      <c r="K18" s="5"/>
      <c r="L18" s="5"/>
      <c r="M18" s="5"/>
      <c r="N18" s="21">
        <f>(Q19/2)/Q10</f>
        <v>461.1542969472535</v>
      </c>
      <c r="O18" s="78">
        <f>E13*Q18/Q10</f>
        <v>1847.7549780105094</v>
      </c>
      <c r="P18" s="74">
        <f>((B5+A8)/2)*Q18/Q10</f>
        <v>950.02645302070289</v>
      </c>
      <c r="Q18" s="4">
        <f>ROUND(O11,N19)</f>
        <v>3.7</v>
      </c>
      <c r="R18" s="52">
        <f>(P13+P15)/2</f>
        <v>779.20856537997781</v>
      </c>
      <c r="S18" s="51"/>
      <c r="T18" s="8">
        <f>T5+T12</f>
        <v>-72.353490283636233</v>
      </c>
      <c r="U18" s="8">
        <f>(T19+(T17*-1)+T18)</f>
        <v>-144.70698056727247</v>
      </c>
      <c r="V18" s="4">
        <f>(U18/10)</f>
        <v>-14.470698056727247</v>
      </c>
      <c r="W18" s="4"/>
      <c r="X18" s="4">
        <f>((W14+U15)/2)*AJ18</f>
        <v>514.50363556259117</v>
      </c>
      <c r="Y18" s="5">
        <f>((X13+U15)/2)*AJ18/AJ10</f>
        <v>1152.8857423681336</v>
      </c>
      <c r="Z18" s="5"/>
      <c r="AA18" s="5">
        <f>(AJ19/2)</f>
        <v>235.18869144309929</v>
      </c>
      <c r="AB18" s="5"/>
      <c r="AC18" s="5"/>
      <c r="AD18" s="5"/>
      <c r="AE18" s="5"/>
      <c r="AF18" s="5"/>
      <c r="AG18" s="21">
        <f>(AJ19/2)/AJ10</f>
        <v>461.1542969472535</v>
      </c>
      <c r="AH18" s="35">
        <f>X13*AJ18/AJ10</f>
        <v>1848.3467076543252</v>
      </c>
      <c r="AI18" s="30">
        <f>((U5+T8)/2)*AJ18/AJ10</f>
        <v>949.30678922149457</v>
      </c>
      <c r="AJ18" s="33">
        <f>ROUND(AH11,AG19)</f>
        <v>2.1</v>
      </c>
      <c r="AK18" s="34">
        <f>(AI13+AI15)/2</f>
        <v>778.58203408392478</v>
      </c>
      <c r="AL18" s="7"/>
    </row>
    <row r="19" spans="1:38" x14ac:dyDescent="0.25">
      <c r="A19" s="21">
        <f>(A17+A18)</f>
        <v>-154.00983185970318</v>
      </c>
      <c r="B19" s="5"/>
      <c r="C19" s="12">
        <f>INT(C12)-C12+N19</f>
        <v>0.38999954768060974</v>
      </c>
      <c r="D19" s="5"/>
      <c r="E19" s="21" t="s">
        <v>3</v>
      </c>
      <c r="F19" s="5">
        <f>((O19+B15+E13)/3)*Q18/Q10</f>
        <v>2230.8825988096819</v>
      </c>
      <c r="G19" s="5"/>
      <c r="H19" s="5">
        <f>ROUND(H18,2)</f>
        <v>415.04</v>
      </c>
      <c r="I19" s="5"/>
      <c r="J19" s="5"/>
      <c r="K19" s="5"/>
      <c r="L19" s="5"/>
      <c r="M19" s="5"/>
      <c r="N19" s="5">
        <v>1</v>
      </c>
      <c r="O19" s="79">
        <f>((B5+B15+E13)/3)*Q18/Q10</f>
        <v>1067.0780217631079</v>
      </c>
      <c r="P19" s="80">
        <f>(Q19/Q18)</f>
        <v>224.34533365001522</v>
      </c>
      <c r="Q19" s="8">
        <f>P5*Q10</f>
        <v>830.07773450505636</v>
      </c>
      <c r="R19" s="52">
        <f>(F14+P15)/2</f>
        <v>795.02861383151026</v>
      </c>
      <c r="S19" s="51"/>
      <c r="T19" s="21">
        <f>(T17+T18)</f>
        <v>-151.95290487702039</v>
      </c>
      <c r="U19" s="5"/>
      <c r="V19" s="12">
        <f>INT(V12)-V12+AG19</f>
        <v>7.156568284283793E-3</v>
      </c>
      <c r="W19" s="5"/>
      <c r="X19" s="21" t="s">
        <v>3</v>
      </c>
      <c r="Y19" s="5">
        <f>((AH19+U15+X13)/3)*AJ18/AJ10</f>
        <v>2232.7049568774701</v>
      </c>
      <c r="Z19" s="5"/>
      <c r="AA19" s="5">
        <f>ROUND(AA18,2)</f>
        <v>235.19</v>
      </c>
      <c r="AB19" s="5"/>
      <c r="AC19" s="5"/>
      <c r="AD19" s="5"/>
      <c r="AE19" s="5"/>
      <c r="AF19" s="5"/>
      <c r="AG19" s="5">
        <v>1</v>
      </c>
      <c r="AH19" s="36">
        <f>((U5+U15+X13)/3)*AJ18/AJ10</f>
        <v>1066.7119651462062</v>
      </c>
      <c r="AI19" s="37">
        <f>(AJ19/AJ18)</f>
        <v>223.98922994580883</v>
      </c>
      <c r="AJ19" s="2">
        <f>AI5*AJ10</f>
        <v>470.37738288619857</v>
      </c>
      <c r="AK19" s="34">
        <f>(Y14+AI15)/2</f>
        <v>794.41208166323827</v>
      </c>
      <c r="AL19" s="7"/>
    </row>
    <row r="20" spans="1:38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7"/>
      <c r="K20" s="7"/>
      <c r="L20" s="7"/>
      <c r="M20" s="7"/>
      <c r="N20" s="16"/>
      <c r="O20" s="16"/>
      <c r="P20" s="16" t="s">
        <v>4</v>
      </c>
      <c r="Q20" s="38" t="b">
        <f>IF(R20&gt;0,"M")</f>
        <v>0</v>
      </c>
      <c r="R20" s="38">
        <f>(R24*R22)</f>
        <v>-1</v>
      </c>
      <c r="S20" s="7"/>
      <c r="T20" s="16"/>
      <c r="U20" s="16"/>
      <c r="V20" s="16"/>
      <c r="W20" s="16"/>
      <c r="X20" s="16"/>
      <c r="Y20" s="16"/>
      <c r="Z20" s="16"/>
      <c r="AA20" s="16"/>
      <c r="AB20" s="16"/>
      <c r="AC20" s="7"/>
      <c r="AD20" s="7"/>
      <c r="AE20" s="7"/>
      <c r="AF20" s="7"/>
      <c r="AG20" s="16"/>
      <c r="AH20" s="16"/>
      <c r="AI20" s="16" t="s">
        <v>4</v>
      </c>
      <c r="AJ20" s="38" t="b">
        <f>IF(AK20&gt;0,"M")</f>
        <v>0</v>
      </c>
      <c r="AK20" s="38">
        <f>(AK24*AK22)</f>
        <v>-1</v>
      </c>
      <c r="AL20" s="7"/>
    </row>
    <row r="21" spans="1:38" ht="18.75" x14ac:dyDescent="0.3">
      <c r="A21" s="16"/>
      <c r="B21" s="16"/>
      <c r="C21" s="16"/>
      <c r="D21" s="16"/>
      <c r="E21" s="16"/>
      <c r="F21" s="16"/>
      <c r="G21" s="16"/>
      <c r="H21" s="16"/>
      <c r="I21" s="16"/>
      <c r="J21" s="7"/>
      <c r="K21" s="7"/>
      <c r="L21" s="7"/>
      <c r="M21" s="7"/>
      <c r="N21" s="16"/>
      <c r="O21" s="16"/>
      <c r="P21" s="16"/>
      <c r="Q21" s="39" t="str">
        <f>IF(R24+R25&lt;0,"-M")</f>
        <v>-M</v>
      </c>
      <c r="R21" s="38">
        <f>(R25*R23)</f>
        <v>-1</v>
      </c>
      <c r="S21" s="7"/>
      <c r="T21" s="16"/>
      <c r="U21" s="16"/>
      <c r="V21" s="16"/>
      <c r="W21" s="16"/>
      <c r="X21" s="16"/>
      <c r="Y21" s="16"/>
      <c r="Z21" s="16"/>
      <c r="AA21" s="16"/>
      <c r="AB21" s="16"/>
      <c r="AC21" s="7"/>
      <c r="AD21" s="7"/>
      <c r="AE21" s="7"/>
      <c r="AF21" s="7"/>
      <c r="AG21" s="16"/>
      <c r="AH21" s="16"/>
      <c r="AI21" s="16"/>
      <c r="AJ21" s="39" t="str">
        <f>IF(AK24+AK25&lt;0,"-M")</f>
        <v>-M</v>
      </c>
      <c r="AK21" s="38">
        <f>(AK25*AK23)</f>
        <v>-1</v>
      </c>
      <c r="AL21" s="7"/>
    </row>
    <row r="22" spans="1:38" ht="18.75" x14ac:dyDescent="0.3">
      <c r="A22" s="16"/>
      <c r="B22" s="16"/>
      <c r="C22" s="16"/>
      <c r="D22" s="16"/>
      <c r="E22" s="16"/>
      <c r="F22" s="16"/>
      <c r="G22" s="16"/>
      <c r="H22" s="16"/>
      <c r="I22" s="16"/>
      <c r="J22" s="7"/>
      <c r="K22" s="7"/>
      <c r="L22" s="7"/>
      <c r="M22" s="7"/>
      <c r="N22" s="16"/>
      <c r="O22" s="16"/>
      <c r="P22" s="16"/>
      <c r="Q22" s="39" t="b">
        <f>IF(R24+R25&gt;0,"+M")</f>
        <v>0</v>
      </c>
      <c r="R22" s="38">
        <f>(P24*O24*N24)</f>
        <v>1</v>
      </c>
      <c r="S22" s="7"/>
      <c r="T22" s="16"/>
      <c r="U22" s="16"/>
      <c r="V22" s="16"/>
      <c r="W22" s="16"/>
      <c r="X22" s="16"/>
      <c r="Y22" s="16"/>
      <c r="Z22" s="16"/>
      <c r="AA22" s="16"/>
      <c r="AB22" s="16"/>
      <c r="AC22" s="7"/>
      <c r="AD22" s="7"/>
      <c r="AE22" s="7"/>
      <c r="AF22" s="7"/>
      <c r="AG22" s="16"/>
      <c r="AH22" s="16"/>
      <c r="AI22" s="16"/>
      <c r="AJ22" s="39" t="b">
        <f>IF(AK24+AK25&gt;0,"+M")</f>
        <v>0</v>
      </c>
      <c r="AK22" s="38">
        <f>(AI24*AH24*AG24)</f>
        <v>1</v>
      </c>
      <c r="AL22" s="7"/>
    </row>
    <row r="23" spans="1:38" x14ac:dyDescent="0.25">
      <c r="A23" s="40"/>
      <c r="B23" s="16"/>
      <c r="C23" s="40" t="str">
        <f>IF(S25&lt;690," BS ")</f>
        <v xml:space="preserve"> BS </v>
      </c>
      <c r="D23" s="40" t="b">
        <f>IF(S25&gt;3444," MB ")</f>
        <v>0</v>
      </c>
      <c r="E23" s="41">
        <f>P57</f>
        <v>-1</v>
      </c>
      <c r="F23" s="41">
        <f>P32</f>
        <v>-1</v>
      </c>
      <c r="G23" s="42"/>
      <c r="H23" s="41">
        <f>P9</f>
        <v>1</v>
      </c>
      <c r="I23" s="16"/>
      <c r="J23" s="7"/>
      <c r="K23" s="7"/>
      <c r="L23" s="7"/>
      <c r="M23" s="7"/>
      <c r="N23" s="38" t="str">
        <f>IF((M25+M24)=0,"E")</f>
        <v>E</v>
      </c>
      <c r="O23" s="40">
        <f>IF(Q24&gt;0,-1,1)</f>
        <v>1</v>
      </c>
      <c r="P23" s="40">
        <f>IF(Q24&lt;0,1,-1)</f>
        <v>1</v>
      </c>
      <c r="Q23" s="16"/>
      <c r="R23" s="38">
        <f>(P25*O25*N25)</f>
        <v>1</v>
      </c>
      <c r="S23" s="7"/>
      <c r="T23" s="40"/>
      <c r="U23" s="16"/>
      <c r="V23" s="40" t="str">
        <f>IF(AL25&lt;690," BS ")</f>
        <v xml:space="preserve"> BS </v>
      </c>
      <c r="W23" s="40" t="b">
        <f>IF(AL25&gt;3444," MB ")</f>
        <v>0</v>
      </c>
      <c r="X23" s="41">
        <f>AI57</f>
        <v>-1</v>
      </c>
      <c r="Y23" s="41">
        <f>AI32</f>
        <v>-1</v>
      </c>
      <c r="Z23" s="42"/>
      <c r="AA23" s="41">
        <f>AI9</f>
        <v>1</v>
      </c>
      <c r="AB23" s="16"/>
      <c r="AC23" s="7"/>
      <c r="AD23" s="7"/>
      <c r="AE23" s="7"/>
      <c r="AF23" s="7"/>
      <c r="AG23" s="38" t="str">
        <f>IF((AF25+AF24)=0,"E")</f>
        <v>E</v>
      </c>
      <c r="AH23" s="40">
        <f>IF(AJ24&gt;0,-1,1)</f>
        <v>1</v>
      </c>
      <c r="AI23" s="40">
        <f>IF(AJ24&lt;0,1,-1)</f>
        <v>1</v>
      </c>
      <c r="AJ23" s="16"/>
      <c r="AK23" s="38">
        <f>(AI25*AH25*AG25)</f>
        <v>1</v>
      </c>
      <c r="AL23" s="7"/>
    </row>
    <row r="24" spans="1:38" x14ac:dyDescent="0.25">
      <c r="A24" s="16"/>
      <c r="B24" s="16"/>
      <c r="C24" s="40" t="b">
        <f>IF(S25&gt;690," AS ")</f>
        <v>0</v>
      </c>
      <c r="D24" s="16"/>
      <c r="E24" s="2">
        <f>P55</f>
        <v>1</v>
      </c>
      <c r="F24" s="2">
        <f>P30</f>
        <v>1</v>
      </c>
      <c r="G24" s="40"/>
      <c r="H24" s="2">
        <f>P7</f>
        <v>-1</v>
      </c>
      <c r="I24" s="16"/>
      <c r="J24" s="7"/>
      <c r="K24" s="7"/>
      <c r="L24" s="7"/>
      <c r="M24" s="43"/>
      <c r="N24" s="34">
        <f>O56</f>
        <v>-1</v>
      </c>
      <c r="O24" s="34">
        <f>O31</f>
        <v>-1</v>
      </c>
      <c r="P24" s="34">
        <f>(O9)</f>
        <v>1</v>
      </c>
      <c r="Q24" s="44">
        <f>(Q17+Q40+Q65)</f>
        <v>-2009.9372779127643</v>
      </c>
      <c r="R24" s="45">
        <f>(P24+O24+N24)</f>
        <v>-1</v>
      </c>
      <c r="S24" s="46">
        <f>INT(R24)+R24</f>
        <v>-2</v>
      </c>
      <c r="T24" s="16"/>
      <c r="U24" s="16"/>
      <c r="V24" s="40" t="b">
        <f>IF(AL25&gt;690," AS ")</f>
        <v>0</v>
      </c>
      <c r="W24" s="16"/>
      <c r="X24" s="2">
        <f>AI55</f>
        <v>1</v>
      </c>
      <c r="Y24" s="2">
        <f>AI30</f>
        <v>1</v>
      </c>
      <c r="Z24" s="40"/>
      <c r="AA24" s="2">
        <f>AI7</f>
        <v>1</v>
      </c>
      <c r="AB24" s="16"/>
      <c r="AC24" s="7"/>
      <c r="AD24" s="7"/>
      <c r="AE24" s="7"/>
      <c r="AF24" s="43"/>
      <c r="AG24" s="34">
        <f>AH56</f>
        <v>-1</v>
      </c>
      <c r="AH24" s="34">
        <f>AH31</f>
        <v>-1</v>
      </c>
      <c r="AI24" s="34">
        <f>(AH9)</f>
        <v>1</v>
      </c>
      <c r="AJ24" s="44">
        <f>(AJ17+AJ40+AJ65)</f>
        <v>-854.1128841567654</v>
      </c>
      <c r="AK24" s="45">
        <f>(AI24+AH24+AG24)</f>
        <v>-1</v>
      </c>
      <c r="AL24" s="46">
        <f>INT(AK24)+AK24</f>
        <v>-2</v>
      </c>
    </row>
    <row r="25" spans="1:38" x14ac:dyDescent="0.25">
      <c r="A25" s="16"/>
      <c r="B25" s="16"/>
      <c r="C25" s="40" t="b">
        <f>IF(S25=0," F ")</f>
        <v>0</v>
      </c>
      <c r="D25" s="16"/>
      <c r="E25" s="2">
        <f>P58</f>
        <v>-1</v>
      </c>
      <c r="F25" s="2">
        <f>P33</f>
        <v>-1</v>
      </c>
      <c r="G25" s="40"/>
      <c r="H25" s="2">
        <f>P10</f>
        <v>-1</v>
      </c>
      <c r="I25" s="16"/>
      <c r="J25" s="7"/>
      <c r="K25" s="7"/>
      <c r="L25" s="7"/>
      <c r="M25" s="43"/>
      <c r="N25" s="34">
        <f>O57</f>
        <v>-1</v>
      </c>
      <c r="O25" s="34">
        <f>O32</f>
        <v>-1</v>
      </c>
      <c r="P25" s="34">
        <f>O8</f>
        <v>1</v>
      </c>
      <c r="Q25" s="40" t="b">
        <f>IF(Q24&gt;0,Q26)</f>
        <v>0</v>
      </c>
      <c r="R25" s="47">
        <f>(P25+O25+N25)</f>
        <v>-1</v>
      </c>
      <c r="S25" s="46">
        <f>(S24^8)</f>
        <v>256</v>
      </c>
      <c r="T25" s="16"/>
      <c r="U25" s="16"/>
      <c r="V25" s="40" t="b">
        <f>IF(AL25=0," F ")</f>
        <v>0</v>
      </c>
      <c r="W25" s="16"/>
      <c r="X25" s="2">
        <f>AI58</f>
        <v>-1</v>
      </c>
      <c r="Y25" s="2">
        <f>AI33</f>
        <v>-1</v>
      </c>
      <c r="Z25" s="40"/>
      <c r="AA25" s="2">
        <f>AI10</f>
        <v>-1</v>
      </c>
      <c r="AB25" s="16"/>
      <c r="AC25" s="7"/>
      <c r="AD25" s="7"/>
      <c r="AE25" s="7"/>
      <c r="AF25" s="43"/>
      <c r="AG25" s="34">
        <f>AH57</f>
        <v>-1</v>
      </c>
      <c r="AH25" s="34">
        <f>AH32</f>
        <v>-1</v>
      </c>
      <c r="AI25" s="34">
        <f>AH8</f>
        <v>1</v>
      </c>
      <c r="AJ25" s="40" t="b">
        <f>IF(AJ24&gt;0,AJ26)</f>
        <v>0</v>
      </c>
      <c r="AK25" s="47">
        <f>(AI25+AH25+AG25)</f>
        <v>-1</v>
      </c>
      <c r="AL25" s="46">
        <f>(AL24^8)</f>
        <v>256</v>
      </c>
    </row>
    <row r="26" spans="1:38" x14ac:dyDescent="0.25">
      <c r="A26" s="16"/>
      <c r="B26" s="16"/>
      <c r="C26" s="40" t="b">
        <f>IF(S25&gt;1797," UB ")</f>
        <v>0</v>
      </c>
      <c r="D26" s="16"/>
      <c r="E26" s="48">
        <f>P56</f>
        <v>1</v>
      </c>
      <c r="F26" s="48">
        <f>P31</f>
        <v>1</v>
      </c>
      <c r="G26" s="49"/>
      <c r="H26" s="48">
        <f>P8</f>
        <v>1</v>
      </c>
      <c r="I26" s="16"/>
      <c r="J26" s="7"/>
      <c r="K26" s="7"/>
      <c r="L26" s="7"/>
      <c r="M26" s="7"/>
      <c r="N26" s="16"/>
      <c r="O26" s="16"/>
      <c r="P26" s="16"/>
      <c r="Q26" s="50">
        <f>-OR4+1</f>
        <v>1</v>
      </c>
      <c r="R26" s="38"/>
      <c r="S26" s="7"/>
      <c r="T26" s="16"/>
      <c r="U26" s="16"/>
      <c r="V26" s="40" t="b">
        <f>IF(AL25&gt;1797," UB ")</f>
        <v>0</v>
      </c>
      <c r="W26" s="16"/>
      <c r="X26" s="48">
        <f>AI56</f>
        <v>1</v>
      </c>
      <c r="Y26" s="48">
        <f>AI31</f>
        <v>1</v>
      </c>
      <c r="Z26" s="49"/>
      <c r="AA26" s="48">
        <f>AI8</f>
        <v>1</v>
      </c>
      <c r="AB26" s="16"/>
      <c r="AC26" s="7"/>
      <c r="AD26" s="7"/>
      <c r="AE26" s="7"/>
      <c r="AF26" s="7"/>
      <c r="AG26" s="16"/>
      <c r="AH26" s="16"/>
      <c r="AI26" s="16"/>
      <c r="AJ26" s="50">
        <f>-PK4+1</f>
        <v>1</v>
      </c>
      <c r="AK26" s="38"/>
      <c r="AL26" s="7"/>
    </row>
    <row r="27" spans="1:38" x14ac:dyDescent="0.25">
      <c r="A27" s="2">
        <f>P42</f>
        <v>224.99394802878254</v>
      </c>
      <c r="B27" s="4">
        <f>(A27*10^0.125)</f>
        <v>300.03425180342259</v>
      </c>
      <c r="C27" s="4">
        <f>INT(B27)</f>
        <v>300</v>
      </c>
      <c r="D27" s="4">
        <f>C27*4</f>
        <v>1200</v>
      </c>
      <c r="E27" s="4">
        <f>D27/5</f>
        <v>240</v>
      </c>
      <c r="F27" s="5">
        <f>E27^2</f>
        <v>57600</v>
      </c>
      <c r="G27" s="5">
        <f>(F27^0.125)</f>
        <v>3.9359793425308607</v>
      </c>
      <c r="H27" s="5">
        <f>G27/3</f>
        <v>1.3119931141769536</v>
      </c>
      <c r="I27" s="5">
        <f>(H27*100)</f>
        <v>131.19931141769536</v>
      </c>
      <c r="J27" s="5">
        <f>(F27/100)</f>
        <v>576</v>
      </c>
      <c r="K27" s="5">
        <f>(J27+I27)/2</f>
        <v>353.59965570884765</v>
      </c>
      <c r="L27" s="5">
        <f>(K27+I27)/2</f>
        <v>242.3994835632715</v>
      </c>
      <c r="M27" s="5">
        <f>(L27+A27)/2</f>
        <v>233.69671579602704</v>
      </c>
      <c r="N27" s="5">
        <f>M27*100^0.5</f>
        <v>2336.9671579602705</v>
      </c>
      <c r="O27" s="5">
        <f>INT(N27)/10</f>
        <v>233.6</v>
      </c>
      <c r="P27" s="5">
        <f>(O27)^2/10000</f>
        <v>5.4568959999999995</v>
      </c>
      <c r="Q27" s="5">
        <f>(P27+I27+M27)/3</f>
        <v>123.45097440457414</v>
      </c>
      <c r="R27" s="6">
        <f>Q32^0.5</f>
        <v>30.413005635566734</v>
      </c>
      <c r="S27" s="7"/>
      <c r="T27" s="2">
        <f>AI42</f>
        <v>224.81279348125534</v>
      </c>
      <c r="U27" s="4">
        <f>(T27*10^0.125)</f>
        <v>299.79267833176118</v>
      </c>
      <c r="V27" s="4">
        <f>INT(U27)</f>
        <v>299</v>
      </c>
      <c r="W27" s="4">
        <f>V27*4</f>
        <v>1196</v>
      </c>
      <c r="X27" s="4">
        <f>W27/5</f>
        <v>239.2</v>
      </c>
      <c r="Y27" s="5">
        <f>X27^2</f>
        <v>57216.639999999992</v>
      </c>
      <c r="Z27" s="5">
        <f>(Y27^0.125)</f>
        <v>3.9326952517764404</v>
      </c>
      <c r="AA27" s="5">
        <f>Z27/3</f>
        <v>1.3108984172588134</v>
      </c>
      <c r="AB27" s="5">
        <f>(AA27*100)</f>
        <v>131.08984172588134</v>
      </c>
      <c r="AC27" s="5">
        <f>(Y27/100)</f>
        <v>572.16639999999995</v>
      </c>
      <c r="AD27" s="5">
        <f>(AC27+AB27)/2</f>
        <v>351.62812086294065</v>
      </c>
      <c r="AE27" s="5">
        <f>(AD27+AB27)/2</f>
        <v>241.358981294411</v>
      </c>
      <c r="AF27" s="5">
        <f>(AE27+T27)/2</f>
        <v>233.08588738783317</v>
      </c>
      <c r="AG27" s="5">
        <f>AF27*100^0.5</f>
        <v>2330.8588738783319</v>
      </c>
      <c r="AH27" s="5">
        <f>INT(AG27)/10</f>
        <v>233</v>
      </c>
      <c r="AI27" s="5">
        <f>(AH27)^2/10000</f>
        <v>5.4288999999999996</v>
      </c>
      <c r="AJ27" s="5">
        <f>(AI27+AB27+AF27)/3</f>
        <v>123.20154303790484</v>
      </c>
      <c r="AK27" s="6">
        <f>AJ32^0.5</f>
        <v>30.413005635566734</v>
      </c>
      <c r="AL27" s="7"/>
    </row>
    <row r="28" spans="1:38" x14ac:dyDescent="0.25">
      <c r="A28" s="8">
        <f>(O29-O28)</f>
        <v>2.846545881617601</v>
      </c>
      <c r="B28" s="4">
        <f>(B29+A30)/2</f>
        <v>218.53183368295385</v>
      </c>
      <c r="C28" s="9">
        <f>(D30*C30*B30*C29*D29*A28)</f>
        <v>1161692213047.7166</v>
      </c>
      <c r="D28" s="4">
        <f>(C29*C28*A28)</f>
        <v>1687604879.8710458</v>
      </c>
      <c r="E28" s="8">
        <f>INT(A28+1)</f>
        <v>3</v>
      </c>
      <c r="F28" s="10">
        <f>(Q40*-1)</f>
        <v>201.62254289639927</v>
      </c>
      <c r="G28" s="11"/>
      <c r="H28" s="2">
        <f>IF(F28&lt;0,1,-1)</f>
        <v>-1</v>
      </c>
      <c r="I28" s="11"/>
      <c r="J28" s="11"/>
      <c r="K28" s="11"/>
      <c r="L28" s="11"/>
      <c r="M28" s="11"/>
      <c r="N28" s="11">
        <f>(M27+O27)/2</f>
        <v>233.6483578980135</v>
      </c>
      <c r="O28" s="11">
        <f>N28-A27</f>
        <v>8.6544098692309603</v>
      </c>
      <c r="P28" s="11">
        <f>(Q32+R30)/2</f>
        <v>912.47545589450692</v>
      </c>
      <c r="Q28" s="12">
        <f>(Q31*A28*100)</f>
        <v>243.5902156855494</v>
      </c>
      <c r="R28" s="6">
        <f>INT(R27)</f>
        <v>30</v>
      </c>
      <c r="S28" s="7"/>
      <c r="T28" s="8">
        <f>(AH29-AH28)</f>
        <v>3.5990750666863391</v>
      </c>
      <c r="U28" s="4">
        <f>(U29+T30)/2</f>
        <v>217.99841207490996</v>
      </c>
      <c r="V28" s="9">
        <f>(W30*V30*U30*V29*W29*T28)</f>
        <v>14643020925920.797</v>
      </c>
      <c r="W28" s="4">
        <f>(V29*V28*T28)</f>
        <v>15633626756.208958</v>
      </c>
      <c r="X28" s="8">
        <f>INT(T28+1)</f>
        <v>4</v>
      </c>
      <c r="Y28" s="10">
        <f>(AJ40*-1)</f>
        <v>2.8740083790783615</v>
      </c>
      <c r="Z28" s="11"/>
      <c r="AA28" s="2">
        <f>IF(Y28&lt;0,1,-1)</f>
        <v>-1</v>
      </c>
      <c r="AB28" s="11"/>
      <c r="AC28" s="11"/>
      <c r="AD28" s="11"/>
      <c r="AE28" s="11"/>
      <c r="AF28" s="11"/>
      <c r="AG28" s="11">
        <f>(AF27+AH27)/2</f>
        <v>233.04294369391658</v>
      </c>
      <c r="AH28" s="11">
        <f>AG28-T27</f>
        <v>8.2301502126612434</v>
      </c>
      <c r="AI28" s="11">
        <f>(AJ32+AK30)/2</f>
        <v>912.47545589450692</v>
      </c>
      <c r="AJ28" s="12">
        <f>(AJ31*T28*100)</f>
        <v>-40.183559416498959</v>
      </c>
      <c r="AK28" s="6">
        <f>INT(AK27)</f>
        <v>30</v>
      </c>
      <c r="AL28" s="7"/>
    </row>
    <row r="29" spans="1:38" x14ac:dyDescent="0.25">
      <c r="A29" s="8">
        <f>N28</f>
        <v>233.6483578980135</v>
      </c>
      <c r="B29" s="8">
        <f>(N28+N30)/2</f>
        <v>223.57067508797374</v>
      </c>
      <c r="C29" s="4">
        <f>(A28/D30)</f>
        <v>5.103422287888106E-4</v>
      </c>
      <c r="D29" s="4">
        <f>(A28+B30+C30+D30)</f>
        <v>13117.7552986216</v>
      </c>
      <c r="E29" s="14">
        <f>(E28*C30)</f>
        <v>5878.408312633399</v>
      </c>
      <c r="F29" s="15"/>
      <c r="G29" s="11"/>
      <c r="H29" s="11"/>
      <c r="I29" s="11"/>
      <c r="J29" s="11"/>
      <c r="K29" s="11"/>
      <c r="L29" s="11"/>
      <c r="M29" s="11">
        <f>(N28+N30)/2</f>
        <v>223.57067508797374</v>
      </c>
      <c r="N29" s="11">
        <f>(I27+N28)/2</f>
        <v>182.42383465785443</v>
      </c>
      <c r="O29" s="11">
        <f>A27-N30</f>
        <v>11.500955750848561</v>
      </c>
      <c r="P29" s="11"/>
      <c r="Q29" s="5"/>
      <c r="R29" s="16"/>
      <c r="S29" s="7"/>
      <c r="T29" s="8">
        <f>AG28</f>
        <v>233.04294369391658</v>
      </c>
      <c r="U29" s="8">
        <f>(AG28+AG30)/2</f>
        <v>223.01325594791217</v>
      </c>
      <c r="V29" s="4">
        <f>(T28/W30)</f>
        <v>2.9664576409471583E-4</v>
      </c>
      <c r="W29" s="4">
        <f>(T28+U30+V30+W30)</f>
        <v>27639.760199400473</v>
      </c>
      <c r="X29" s="14">
        <f>(X28*V30)</f>
        <v>13484.096131313179</v>
      </c>
      <c r="Y29" s="15"/>
      <c r="Z29" s="11"/>
      <c r="AA29" s="11"/>
      <c r="AB29" s="11"/>
      <c r="AC29" s="11"/>
      <c r="AD29" s="11"/>
      <c r="AE29" s="11"/>
      <c r="AF29" s="11">
        <f>(AG28+AG30)/2</f>
        <v>223.01325594791217</v>
      </c>
      <c r="AG29" s="11">
        <f>(AB27+AG28)/2</f>
        <v>182.06639270989896</v>
      </c>
      <c r="AH29" s="11">
        <f>T27-AG30</f>
        <v>11.829225279347583</v>
      </c>
      <c r="AI29" s="11"/>
      <c r="AJ29" s="5"/>
      <c r="AK29" s="16"/>
      <c r="AL29" s="7"/>
    </row>
    <row r="30" spans="1:38" x14ac:dyDescent="0.25">
      <c r="A30" s="17">
        <f>N30</f>
        <v>213.49299227793398</v>
      </c>
      <c r="B30" s="4">
        <f>G36</f>
        <v>5577.7196575977578</v>
      </c>
      <c r="C30" s="4">
        <f>(B30/A28)</f>
        <v>1959.4694375444662</v>
      </c>
      <c r="D30" s="4">
        <f>(A28*C30)</f>
        <v>5577.7196575977578</v>
      </c>
      <c r="E30" s="8">
        <f>INT(A28)+1</f>
        <v>3</v>
      </c>
      <c r="F30" s="15">
        <f>(Q40)</f>
        <v>-201.62254289639927</v>
      </c>
      <c r="G30" s="11"/>
      <c r="H30" s="2">
        <f>IF(F28&gt;0,-1,1)</f>
        <v>-1</v>
      </c>
      <c r="I30" s="11"/>
      <c r="J30" s="11"/>
      <c r="K30" s="11"/>
      <c r="L30" s="11"/>
      <c r="M30" s="11">
        <f>(N29+P27*2)</f>
        <v>193.33762665785443</v>
      </c>
      <c r="N30" s="11">
        <f>(N28+M30)/2</f>
        <v>213.49299227793398</v>
      </c>
      <c r="O30" s="11">
        <f>(N29+J27)/2</f>
        <v>379.2119173289272</v>
      </c>
      <c r="P30" s="2">
        <f>IF(Q40&gt;1,-1,1)</f>
        <v>1</v>
      </c>
      <c r="Q30" s="12">
        <f>F38-F35</f>
        <v>-2.1479989393789065</v>
      </c>
      <c r="R30" s="6">
        <f>R28^2</f>
        <v>900</v>
      </c>
      <c r="S30" s="7"/>
      <c r="T30" s="17">
        <f>AG30</f>
        <v>212.98356820190776</v>
      </c>
      <c r="U30" s="4">
        <f>Z36</f>
        <v>12132.568545752747</v>
      </c>
      <c r="V30" s="4">
        <f>(U30/T28)</f>
        <v>3371.0240328282948</v>
      </c>
      <c r="W30" s="4">
        <f>(T28*V30)</f>
        <v>12132.568545752747</v>
      </c>
      <c r="X30" s="8">
        <f>INT(T28)+1</f>
        <v>4</v>
      </c>
      <c r="Y30" s="15">
        <f>(AJ40)</f>
        <v>-2.8740083790783615</v>
      </c>
      <c r="Z30" s="11"/>
      <c r="AA30" s="2">
        <f>IF(Y28&gt;0,-1,1)</f>
        <v>-1</v>
      </c>
      <c r="AB30" s="11"/>
      <c r="AC30" s="11"/>
      <c r="AD30" s="11"/>
      <c r="AE30" s="11"/>
      <c r="AF30" s="11">
        <f>(AG29+AI27*2)</f>
        <v>192.92419270989896</v>
      </c>
      <c r="AG30" s="11">
        <f>(AG28+AF30)/2</f>
        <v>212.98356820190776</v>
      </c>
      <c r="AH30" s="11">
        <f>(AG29+AC27)/2</f>
        <v>377.11639635494947</v>
      </c>
      <c r="AI30" s="2">
        <f>IF(AJ40&gt;1,-1,1)</f>
        <v>1</v>
      </c>
      <c r="AJ30" s="12">
        <f>Y38-Y35</f>
        <v>-3.0906225892186177</v>
      </c>
      <c r="AK30" s="6">
        <f>AK28^2</f>
        <v>900</v>
      </c>
      <c r="AL30" s="7"/>
    </row>
    <row r="31" spans="1:38" x14ac:dyDescent="0.25">
      <c r="A31" s="17">
        <f>(O29+O28)+A27</f>
        <v>245.14931364886206</v>
      </c>
      <c r="B31" s="4">
        <f>(A29+B29)/2</f>
        <v>228.60951649299363</v>
      </c>
      <c r="C31" s="8">
        <f>(C29)</f>
        <v>5.103422287888106E-4</v>
      </c>
      <c r="D31" s="4">
        <f>(D28*D29*D30*B30*A28)</f>
        <v>1.9604774476475204E+21</v>
      </c>
      <c r="E31" s="4">
        <f>(C31*A28)</f>
        <v>1.4527125695743364E-3</v>
      </c>
      <c r="F31" s="11">
        <f>(F33/O33)*O34-F34</f>
        <v>-197.98315683103863</v>
      </c>
      <c r="G31" s="11"/>
      <c r="H31" s="11"/>
      <c r="I31" s="11"/>
      <c r="J31" s="11"/>
      <c r="K31" s="11"/>
      <c r="L31" s="11"/>
      <c r="M31" s="11"/>
      <c r="N31" s="4">
        <f>(F31+Q40)*F34</f>
        <v>-80569.517334941003</v>
      </c>
      <c r="O31" s="2">
        <f>H30</f>
        <v>-1</v>
      </c>
      <c r="P31" s="2">
        <f>IF(Q40&lt;100,1,-1)</f>
        <v>1</v>
      </c>
      <c r="Q31" s="12">
        <f>Q30+F38</f>
        <v>0.8557396431183637</v>
      </c>
      <c r="R31" s="16"/>
      <c r="S31" s="7"/>
      <c r="T31" s="17">
        <f>(AH29+AH28)+T27</f>
        <v>244.87216897326417</v>
      </c>
      <c r="U31" s="4">
        <f>(T29+U29)/2</f>
        <v>228.02809982091438</v>
      </c>
      <c r="V31" s="8">
        <f>(V29)</f>
        <v>2.9664576409471583E-4</v>
      </c>
      <c r="W31" s="4">
        <f>(W28*W29*W30*U30*T28)</f>
        <v>2.289235237392031E+23</v>
      </c>
      <c r="X31" s="4">
        <f>(V31*T28)</f>
        <v>1.0676503731914095E-3</v>
      </c>
      <c r="Y31" s="11">
        <f>(Y33/AH33)*AH34-Y34</f>
        <v>0.76430985004695184</v>
      </c>
      <c r="Z31" s="11"/>
      <c r="AA31" s="11"/>
      <c r="AB31" s="11"/>
      <c r="AC31" s="11"/>
      <c r="AD31" s="11"/>
      <c r="AE31" s="11"/>
      <c r="AF31" s="11"/>
      <c r="AG31" s="4">
        <f>(Y31+AJ40)*Y34</f>
        <v>-6.0632912497655651</v>
      </c>
      <c r="AH31" s="2">
        <f>AA30</f>
        <v>-1</v>
      </c>
      <c r="AI31" s="2">
        <f>IF(AJ40&lt;100,1,-1)</f>
        <v>1</v>
      </c>
      <c r="AJ31" s="12">
        <f>AJ30+Y38</f>
        <v>-0.11164968407701448</v>
      </c>
      <c r="AK31" s="16"/>
      <c r="AL31" s="7"/>
    </row>
    <row r="32" spans="1:38" x14ac:dyDescent="0.25">
      <c r="A32" s="17">
        <f>(O29*-1-O28)+A27</f>
        <v>204.83858240870302</v>
      </c>
      <c r="B32" s="4">
        <f>(B29+B28)/2</f>
        <v>221.05125438546378</v>
      </c>
      <c r="C32" s="4">
        <f>(B28+A30)/2</f>
        <v>216.01241298044391</v>
      </c>
      <c r="D32" s="4">
        <f>D28</f>
        <v>1687604879.8710458</v>
      </c>
      <c r="E32" s="4">
        <f>(B29+A27)/2</f>
        <v>224.28231155837813</v>
      </c>
      <c r="F32" s="11">
        <f>(F34/O34)</f>
        <v>55.172105654918795</v>
      </c>
      <c r="G32" s="11"/>
      <c r="H32" s="11"/>
      <c r="I32" s="11"/>
      <c r="J32" s="11"/>
      <c r="K32" s="11"/>
      <c r="L32" s="11"/>
      <c r="M32" s="11"/>
      <c r="N32" s="11"/>
      <c r="O32" s="2">
        <f>H28</f>
        <v>-1</v>
      </c>
      <c r="P32" s="2">
        <f>IF(Q40&lt;0,-1,1)</f>
        <v>-1</v>
      </c>
      <c r="Q32" s="15">
        <f>Q9</f>
        <v>924.95091178901396</v>
      </c>
      <c r="R32" s="16"/>
      <c r="S32" s="7"/>
      <c r="T32" s="17">
        <f>(AH29*-1-AH28)+T27</f>
        <v>204.75341798924651</v>
      </c>
      <c r="U32" s="4">
        <f>(U29+U28)/2</f>
        <v>220.50583401141108</v>
      </c>
      <c r="V32" s="4">
        <f>(U28+T30)/2</f>
        <v>215.49099013840885</v>
      </c>
      <c r="W32" s="4">
        <f>W28</f>
        <v>15633626756.208958</v>
      </c>
      <c r="X32" s="4">
        <f>(U29+T27)/2</f>
        <v>223.91302471458374</v>
      </c>
      <c r="Y32" s="11">
        <f>(Y34/AH34)</f>
        <v>1.387838618635403</v>
      </c>
      <c r="Z32" s="11"/>
      <c r="AA32" s="11"/>
      <c r="AB32" s="11"/>
      <c r="AC32" s="11"/>
      <c r="AD32" s="11"/>
      <c r="AE32" s="11"/>
      <c r="AF32" s="11"/>
      <c r="AG32" s="11"/>
      <c r="AH32" s="2">
        <f>AA28</f>
        <v>-1</v>
      </c>
      <c r="AI32" s="2">
        <f>IF(AJ40&lt;0,-1,1)</f>
        <v>-1</v>
      </c>
      <c r="AJ32" s="15">
        <f>AJ9</f>
        <v>924.95091178901396</v>
      </c>
      <c r="AK32" s="16"/>
      <c r="AL32" s="7"/>
    </row>
    <row r="33" spans="1:38" x14ac:dyDescent="0.25">
      <c r="A33" s="8">
        <f>(A32-A31)+A27-A29</f>
        <v>-48.965141109390004</v>
      </c>
      <c r="B33" s="8">
        <f>(A33*-1)+A34</f>
        <v>20.155365620079522</v>
      </c>
      <c r="C33" s="8">
        <f>(B33/2)+A28</f>
        <v>12.924228691657362</v>
      </c>
      <c r="D33" s="8">
        <f>(C41+C34+B40+B33+A28)*-1</f>
        <v>7.469882626832657</v>
      </c>
      <c r="E33" s="8">
        <f>(C33*A28)*D33</f>
        <v>274.81257427667896</v>
      </c>
      <c r="F33" s="2">
        <f>(E33*A28)</f>
        <v>782.26660152401155</v>
      </c>
      <c r="G33" s="2">
        <f>(F33+E33)</f>
        <v>1057.0791758006906</v>
      </c>
      <c r="H33" s="11"/>
      <c r="I33" s="11"/>
      <c r="J33" s="11"/>
      <c r="K33" s="11"/>
      <c r="L33" s="11"/>
      <c r="M33" s="11"/>
      <c r="N33" s="11"/>
      <c r="O33" s="11">
        <v>785.5</v>
      </c>
      <c r="P33" s="2">
        <f>IF(N31&gt;-1,1,-1)</f>
        <v>-1</v>
      </c>
      <c r="Q33" s="5">
        <f>Q10</f>
        <v>0.9</v>
      </c>
      <c r="R33" s="16"/>
      <c r="S33" s="7"/>
      <c r="T33" s="8">
        <f>(T32-T31)+T27-T29</f>
        <v>-48.348901196678895</v>
      </c>
      <c r="U33" s="8">
        <f>(T33*-1)+T34</f>
        <v>20.059375492008826</v>
      </c>
      <c r="V33" s="8">
        <f>(U33/2)+T28</f>
        <v>13.628762812690752</v>
      </c>
      <c r="W33" s="8">
        <f>(V41+V34+U40+U33+T28)*-1</f>
        <v>7.8173501809458159</v>
      </c>
      <c r="X33" s="8">
        <f>(V33*T28)*W33</f>
        <v>383.4483780377152</v>
      </c>
      <c r="Y33" s="2">
        <f>(X33*T28)</f>
        <v>1380.0594967568584</v>
      </c>
      <c r="Z33" s="2">
        <f>(Y33+X33)</f>
        <v>1763.5078747945736</v>
      </c>
      <c r="AA33" s="11"/>
      <c r="AB33" s="11"/>
      <c r="AC33" s="11"/>
      <c r="AD33" s="11"/>
      <c r="AE33" s="11"/>
      <c r="AF33" s="11"/>
      <c r="AG33" s="11"/>
      <c r="AH33" s="11">
        <v>785.5</v>
      </c>
      <c r="AI33" s="2">
        <f>IF(AG31&gt;-1,1,-1)</f>
        <v>-1</v>
      </c>
      <c r="AJ33" s="5">
        <f>AJ10</f>
        <v>0.51</v>
      </c>
      <c r="AK33" s="16"/>
      <c r="AL33" s="7"/>
    </row>
    <row r="34" spans="1:38" x14ac:dyDescent="0.25">
      <c r="A34" s="8">
        <f>(A32-A31)+A27-A30</f>
        <v>-28.809775489310482</v>
      </c>
      <c r="B34" s="8">
        <f>A35+(A34*-1)+A33</f>
        <v>-97.930282218780007</v>
      </c>
      <c r="C34" s="4">
        <f>(B34/10)</f>
        <v>-9.793028221878</v>
      </c>
      <c r="D34" s="4"/>
      <c r="E34" s="4"/>
      <c r="F34" s="11">
        <f>(Q40*-1)</f>
        <v>201.62254289639927</v>
      </c>
      <c r="G34" s="11"/>
      <c r="H34" s="11"/>
      <c r="I34" s="11"/>
      <c r="J34" s="11"/>
      <c r="K34" s="11"/>
      <c r="L34" s="11"/>
      <c r="M34" s="11"/>
      <c r="N34" s="11"/>
      <c r="O34" s="11">
        <f>(H42/1000)*8.9</f>
        <v>3.6544290000000004</v>
      </c>
      <c r="P34" s="2">
        <f>(P36+O38)/2</f>
        <v>891.37681747206909</v>
      </c>
      <c r="Q34" s="5">
        <f>H42/(Q41*1000)</f>
        <v>0.11249589041095891</v>
      </c>
      <c r="R34" s="16"/>
      <c r="S34" s="7"/>
      <c r="T34" s="8">
        <f>(T32-T31)+T27-T30</f>
        <v>-28.289525704670069</v>
      </c>
      <c r="U34" s="8">
        <f>T35+(T34*-1)+T33</f>
        <v>-96.69780239335779</v>
      </c>
      <c r="V34" s="4">
        <f>(U34/10)</f>
        <v>-9.669780239335779</v>
      </c>
      <c r="W34" s="4"/>
      <c r="X34" s="4"/>
      <c r="Y34" s="11">
        <f>(AJ40*-1)</f>
        <v>2.8740083790783615</v>
      </c>
      <c r="Z34" s="11"/>
      <c r="AA34" s="11"/>
      <c r="AB34" s="11"/>
      <c r="AC34" s="11"/>
      <c r="AD34" s="11"/>
      <c r="AE34" s="11"/>
      <c r="AF34" s="11"/>
      <c r="AG34" s="11"/>
      <c r="AH34" s="11">
        <f>(AA42/1000)*8.9</f>
        <v>2.0708519999999999</v>
      </c>
      <c r="AI34" s="2">
        <f>(AI36+AH38)/2</f>
        <v>889.90567588106319</v>
      </c>
      <c r="AJ34" s="5">
        <f>AA42/(AJ41*1000)</f>
        <v>0.11240579710144928</v>
      </c>
      <c r="AK34" s="16"/>
      <c r="AL34" s="7"/>
    </row>
    <row r="35" spans="1:38" x14ac:dyDescent="0.25">
      <c r="A35" s="8">
        <f>(A34+A33)</f>
        <v>-77.774916598700486</v>
      </c>
      <c r="B35" s="4"/>
      <c r="C35" s="4">
        <f>((F35+E35*-1)+E39)*10-A28+O35*-1-C31*111</f>
        <v>10.897482349624703</v>
      </c>
      <c r="D35" s="4"/>
      <c r="E35" s="4">
        <f>(E39+O35+F35)</f>
        <v>-0.20912563996346911</v>
      </c>
      <c r="F35" s="11">
        <f>(O35*E39)</f>
        <v>5.1517375218761767</v>
      </c>
      <c r="G35" s="11"/>
      <c r="H35" s="21">
        <f>(P36+H36)/2</f>
        <v>680.27533664197483</v>
      </c>
      <c r="I35" s="11"/>
      <c r="J35" s="11"/>
      <c r="K35" s="11"/>
      <c r="L35" s="11"/>
      <c r="M35" s="11"/>
      <c r="N35" s="11">
        <f>(A31-A27)-(A27-B32)</f>
        <v>16.21267197676076</v>
      </c>
      <c r="O35" s="2">
        <f>(P35+A28+C31*10)</f>
        <v>-1.2546069289670785</v>
      </c>
      <c r="P35" s="11">
        <f>E39</f>
        <v>-4.1062562328725676</v>
      </c>
      <c r="Q35" s="12">
        <f>(Q31*Q30*10)</f>
        <v>-18.381278458027293</v>
      </c>
      <c r="R35" s="16"/>
      <c r="S35" s="7"/>
      <c r="T35" s="8">
        <f>(T34+T33)</f>
        <v>-76.638426901348964</v>
      </c>
      <c r="U35" s="4"/>
      <c r="V35" s="4">
        <f>((Y35+X35*-1)+X39)*10-T28+AH35*-1-V31*111</f>
        <v>10.12618687020472</v>
      </c>
      <c r="W35" s="4"/>
      <c r="X35" s="4">
        <f>(X39+AH35+Y35)</f>
        <v>-3.3935051186260168E-2</v>
      </c>
      <c r="Y35" s="11">
        <f>(AH35*X39)</f>
        <v>6.0695954943602208</v>
      </c>
      <c r="Z35" s="11"/>
      <c r="AA35" s="21">
        <f>(AI36+AA36)/2</f>
        <v>679.12631832024124</v>
      </c>
      <c r="AB35" s="11"/>
      <c r="AC35" s="11"/>
      <c r="AD35" s="11"/>
      <c r="AE35" s="11"/>
      <c r="AF35" s="11"/>
      <c r="AG35" s="11">
        <f>(T31-T27)-(T27-U32)</f>
        <v>15.752416022164567</v>
      </c>
      <c r="AH35" s="2">
        <f>(AI35+T28+V31*10)</f>
        <v>-1.2507445106095973</v>
      </c>
      <c r="AI35" s="11">
        <f>X39</f>
        <v>-4.8527860349368837</v>
      </c>
      <c r="AJ35" s="12">
        <f>(AJ31*AJ30*10)</f>
        <v>3.4506703568754316</v>
      </c>
      <c r="AK35" s="16"/>
      <c r="AL35" s="7"/>
    </row>
    <row r="36" spans="1:38" x14ac:dyDescent="0.25">
      <c r="A36" s="8">
        <f>(A27+A35)</f>
        <v>147.21903143008205</v>
      </c>
      <c r="B36" s="4">
        <f>(A27+A36)/2</f>
        <v>186.1064897294323</v>
      </c>
      <c r="C36" s="4">
        <f>(E32-A27)-(A27-B36)</f>
        <v>-39.599094769754657</v>
      </c>
      <c r="D36" s="8">
        <f>(B32+C32)/2</f>
        <v>218.53183368295385</v>
      </c>
      <c r="E36" s="8">
        <f>(A31+A37)</f>
        <v>450.6995325279695</v>
      </c>
      <c r="F36" s="21">
        <f>(G33*2)-G40</f>
        <v>1959.4694375444665</v>
      </c>
      <c r="G36" s="21">
        <f>(A28*F36)</f>
        <v>5577.7196575977578</v>
      </c>
      <c r="H36" s="21">
        <f>(N38+P36)/2</f>
        <v>453.84737987161174</v>
      </c>
      <c r="I36" s="21"/>
      <c r="J36" s="21"/>
      <c r="K36" s="21"/>
      <c r="L36" s="21"/>
      <c r="M36" s="21"/>
      <c r="N36" s="21">
        <f>(O36+O37)/2</f>
        <v>920.19687700616623</v>
      </c>
      <c r="O36" s="2">
        <f>(A30+C32)/2*Q41/Q33</f>
        <v>870.94151621837727</v>
      </c>
      <c r="P36" s="2">
        <f>B29*Q41/Q33</f>
        <v>906.70329341233798</v>
      </c>
      <c r="Q36" s="5">
        <f>(A32+B29)/2</f>
        <v>214.20462874833839</v>
      </c>
      <c r="R36" s="16"/>
      <c r="S36" s="7"/>
      <c r="T36" s="8">
        <f>(T27+T35)</f>
        <v>148.17436657990638</v>
      </c>
      <c r="U36" s="4">
        <f>(T27+T36)/2</f>
        <v>186.49358003058086</v>
      </c>
      <c r="V36" s="4">
        <f>(X32-T27)-(T27-U36)</f>
        <v>-39.218982217346081</v>
      </c>
      <c r="W36" s="8">
        <f>(U32+V32)/2</f>
        <v>217.99841207490996</v>
      </c>
      <c r="X36" s="8">
        <f>(T31+T37)</f>
        <v>450.52535572918225</v>
      </c>
      <c r="Y36" s="21">
        <f>(Z33*2)-Z40</f>
        <v>3371.0240328282948</v>
      </c>
      <c r="Z36" s="21">
        <f>(T28*Y36)</f>
        <v>12132.568545752747</v>
      </c>
      <c r="AA36" s="21">
        <f>(AG38+AI36)/2</f>
        <v>453.08118602836839</v>
      </c>
      <c r="AB36" s="21"/>
      <c r="AC36" s="21"/>
      <c r="AD36" s="21"/>
      <c r="AE36" s="21"/>
      <c r="AF36" s="21"/>
      <c r="AG36" s="21">
        <f>(AH36+AH37)/2</f>
        <v>918.80593021495542</v>
      </c>
      <c r="AH36" s="2">
        <f>(T30+V32)/2*AJ41/AJ33</f>
        <v>869.55130957299536</v>
      </c>
      <c r="AI36" s="2">
        <f>U29*AJ41/AJ33</f>
        <v>905.17145061211409</v>
      </c>
      <c r="AJ36" s="5">
        <f>(T32+U29)/2</f>
        <v>213.88333696857933</v>
      </c>
      <c r="AK36" s="16"/>
      <c r="AL36" s="7"/>
    </row>
    <row r="37" spans="1:38" x14ac:dyDescent="0.25">
      <c r="A37" s="8">
        <f>((A32+A31+A30+A29)/4-A32-A27)*-1</f>
        <v>205.55021887910743</v>
      </c>
      <c r="B37" s="4">
        <f>(B32+C32)/2</f>
        <v>218.53183368295385</v>
      </c>
      <c r="C37" s="4">
        <f>(E39+A28)</f>
        <v>-1.2597103512549666</v>
      </c>
      <c r="D37" s="8">
        <f>(A39+D38+A31+D38)/2</f>
        <v>380.02338643077576</v>
      </c>
      <c r="E37" s="8">
        <f>(A32+D38+A31)/3</f>
        <v>201.6131417806524</v>
      </c>
      <c r="F37" s="21">
        <f>(O37+P36)/2</f>
        <v>938.07776560314664</v>
      </c>
      <c r="G37" s="5"/>
      <c r="H37" s="21">
        <f>(O37+P36+N36)/3</f>
        <v>932.11746940415321</v>
      </c>
      <c r="I37" s="21"/>
      <c r="J37" s="21"/>
      <c r="K37" s="21"/>
      <c r="L37" s="21"/>
      <c r="M37" s="21"/>
      <c r="N37" s="21">
        <f>((A37+A31)/2)*Q41/Q33</f>
        <v>913.91849651504924</v>
      </c>
      <c r="O37" s="2">
        <f>((A38+A29)/2)*Q41/Q33</f>
        <v>969.45223779395531</v>
      </c>
      <c r="P37" s="2">
        <f>B28*Q41/Q33</f>
        <v>886.26799215864617</v>
      </c>
      <c r="Q37" s="12">
        <f>A28+E39</f>
        <v>-1.2597103512549666</v>
      </c>
      <c r="R37" s="16"/>
      <c r="S37" s="7"/>
      <c r="T37" s="8">
        <f>((T32+T31+T30+T29)/4-T32-T27)*-1</f>
        <v>205.65318675591811</v>
      </c>
      <c r="U37" s="4">
        <f>(U32+V32)/2</f>
        <v>217.99841207490996</v>
      </c>
      <c r="V37" s="4">
        <f>(X39+T28)</f>
        <v>-1.2537109682505445</v>
      </c>
      <c r="W37" s="8">
        <f>(T39+W38+T31+W38)/2</f>
        <v>380.1491294428501</v>
      </c>
      <c r="X37" s="8">
        <f>(T32+W38+T31)/3</f>
        <v>201.5789935774792</v>
      </c>
      <c r="Y37" s="21">
        <f>(AH37+AI36)/2</f>
        <v>936.61600073451484</v>
      </c>
      <c r="Z37" s="5"/>
      <c r="AA37" s="21">
        <f>(AH37+AI36+AG36)/3</f>
        <v>930.67931056132841</v>
      </c>
      <c r="AB37" s="21"/>
      <c r="AC37" s="21"/>
      <c r="AD37" s="21"/>
      <c r="AE37" s="21"/>
      <c r="AF37" s="21"/>
      <c r="AG37" s="21">
        <f>((T37+T31)/2)*AJ41/AJ33</f>
        <v>914.30145721510507</v>
      </c>
      <c r="AH37" s="2">
        <f>((T38+T29)/2)*AJ41/AJ33</f>
        <v>968.0605508569156</v>
      </c>
      <c r="AI37" s="2">
        <f>U28*AJ41/AJ33</f>
        <v>884.81708430404626</v>
      </c>
      <c r="AJ37" s="12">
        <f>T28+X39</f>
        <v>-1.2537109682505445</v>
      </c>
      <c r="AK37" s="16"/>
      <c r="AL37" s="7"/>
    </row>
    <row r="38" spans="1:38" x14ac:dyDescent="0.25">
      <c r="A38" s="8">
        <f>((A32+A31+A30+A29)/4-A32-A27*-1)</f>
        <v>244.43767717845765</v>
      </c>
      <c r="B38" s="4">
        <f>B29/2</f>
        <v>111.78533754398687</v>
      </c>
      <c r="C38" s="4">
        <f>(B28+C32)/2</f>
        <v>217.27212333169888</v>
      </c>
      <c r="D38" s="8">
        <f>(A37+A36+B38)/3</f>
        <v>154.85152928439211</v>
      </c>
      <c r="E38" s="8">
        <f>(A32+A31+B38)/3</f>
        <v>187.25774453385065</v>
      </c>
      <c r="F38" s="5">
        <f>E35+(C42*-1)-E35-E39</f>
        <v>3.0037385824972702</v>
      </c>
      <c r="G38" s="5"/>
      <c r="H38" s="21">
        <f>(P38+N38)/2</f>
        <v>318.24696914736865</v>
      </c>
      <c r="I38" s="5"/>
      <c r="J38" s="5"/>
      <c r="K38" s="5"/>
      <c r="L38" s="5"/>
      <c r="M38" s="5"/>
      <c r="N38" s="21">
        <f>((N37+N36)/2/Q32)</f>
        <v>0.99146633088545277</v>
      </c>
      <c r="O38" s="2">
        <f>((A30+D36)/2)*Q41/Q33</f>
        <v>876.0503415318002</v>
      </c>
      <c r="P38" s="2">
        <f>((B38+E37)/2)*Q41/Q33</f>
        <v>635.5024719638518</v>
      </c>
      <c r="Q38" s="12">
        <f>(Q37*Q35/10)</f>
        <v>2.3155086742876909</v>
      </c>
      <c r="R38" s="16"/>
      <c r="S38" s="7"/>
      <c r="T38" s="8">
        <f>((T32+T31+T30+T29)/4-T32-T27*-1)</f>
        <v>243.97240020659257</v>
      </c>
      <c r="U38" s="4">
        <f>U29/2</f>
        <v>111.50662797395609</v>
      </c>
      <c r="V38" s="4">
        <f>(U28+V32)/2</f>
        <v>216.74470110665942</v>
      </c>
      <c r="W38" s="8">
        <f>(T37+T36+U38)/3</f>
        <v>155.11139376992688</v>
      </c>
      <c r="X38" s="8">
        <f>(T32+T31+U38)/3</f>
        <v>187.04407164548891</v>
      </c>
      <c r="Y38" s="5">
        <f>X35+(V42*-1)-X35-X39</f>
        <v>2.9789729051416032</v>
      </c>
      <c r="Z38" s="5"/>
      <c r="AA38" s="21">
        <f>(AI38+AG38)/2</f>
        <v>318.18528259067949</v>
      </c>
      <c r="AB38" s="5"/>
      <c r="AC38" s="5"/>
      <c r="AD38" s="5"/>
      <c r="AE38" s="5"/>
      <c r="AF38" s="5"/>
      <c r="AG38" s="21">
        <f>((AG37+AG36)/2/AJ32)</f>
        <v>0.99092144462267506</v>
      </c>
      <c r="AH38" s="2">
        <f>((T30+W36)/2)*AJ41/AJ33</f>
        <v>874.63990115001229</v>
      </c>
      <c r="AI38" s="2">
        <f>((U38+X37)/2)*AJ41/AJ33</f>
        <v>635.37964373673628</v>
      </c>
      <c r="AJ38" s="12">
        <f>(AJ37*AJ35/10)</f>
        <v>-0.43261432742317496</v>
      </c>
      <c r="AK38" s="16"/>
      <c r="AL38" s="7"/>
    </row>
    <row r="39" spans="1:38" x14ac:dyDescent="0.25">
      <c r="A39" s="8">
        <f>(A32+A37)/2</f>
        <v>205.19440064390523</v>
      </c>
      <c r="B39" s="4">
        <f>(A29+B31)/2</f>
        <v>231.12893719550357</v>
      </c>
      <c r="C39" s="4">
        <f>(A28*C31)</f>
        <v>1.4527125695743364E-3</v>
      </c>
      <c r="D39" s="4">
        <f>(A29+B39)/2</f>
        <v>232.38864754675853</v>
      </c>
      <c r="E39" s="4">
        <f>(D39-A27)-(A27-A30)</f>
        <v>-4.1062562328725676</v>
      </c>
      <c r="F39" s="21">
        <f>(N39+H39)/2</f>
        <v>950.82073731594141</v>
      </c>
      <c r="G39" s="5"/>
      <c r="H39" s="31">
        <f>A38*Q41/Q33</f>
        <v>991.33057966818933</v>
      </c>
      <c r="I39" s="5"/>
      <c r="J39" s="5"/>
      <c r="K39" s="5"/>
      <c r="L39" s="5"/>
      <c r="M39" s="5"/>
      <c r="N39" s="21">
        <f>(N37+P36)/2</f>
        <v>910.31089496369361</v>
      </c>
      <c r="O39" s="2">
        <f>((E36+A36)/2)*Q41/Q33</f>
        <v>1212.4459769149378</v>
      </c>
      <c r="P39" s="2">
        <f>((E37+E39/10)/2)*Q41/Q33</f>
        <v>407.99399109687931</v>
      </c>
      <c r="Q39" s="8">
        <f>(Q38+C42)</f>
        <v>3.4180263246629883</v>
      </c>
      <c r="R39" s="16"/>
      <c r="S39" s="7"/>
      <c r="T39" s="8">
        <f>(T32+T37)/2</f>
        <v>205.2033023725823</v>
      </c>
      <c r="U39" s="4">
        <f>(T29+U31)/2</f>
        <v>230.53552175741549</v>
      </c>
      <c r="V39" s="4">
        <f>(T28*V31)</f>
        <v>1.0676503731914095E-3</v>
      </c>
      <c r="W39" s="4">
        <f>(T29+U39)/2</f>
        <v>231.78923272566604</v>
      </c>
      <c r="X39" s="4">
        <f>(W39-T27)-(T27-T30)</f>
        <v>-4.8527860349368837</v>
      </c>
      <c r="Y39" s="21">
        <f>(AG39+AA39)/2</f>
        <v>949.98868619959558</v>
      </c>
      <c r="Z39" s="5"/>
      <c r="AA39" s="31">
        <f>T38*AJ41/AJ33</f>
        <v>990.24091848558157</v>
      </c>
      <c r="AB39" s="5"/>
      <c r="AC39" s="5"/>
      <c r="AD39" s="5"/>
      <c r="AE39" s="5"/>
      <c r="AF39" s="5"/>
      <c r="AG39" s="21">
        <f>(AG37+AI36)/2</f>
        <v>909.73645391360958</v>
      </c>
      <c r="AH39" s="2">
        <f>((X36+T36)/2)*AJ41/AJ33</f>
        <v>1215.0082599802092</v>
      </c>
      <c r="AI39" s="2">
        <f>((X37+X39/10)/2)*AJ41/AJ33</f>
        <v>408.10195097661762</v>
      </c>
      <c r="AJ39" s="8">
        <f>(AJ38+V42)</f>
        <v>1.4411988023721056</v>
      </c>
      <c r="AK39" s="16"/>
      <c r="AL39" s="7"/>
    </row>
    <row r="40" spans="1:38" x14ac:dyDescent="0.25">
      <c r="A40" s="8">
        <f>(A28*-1)+A35</f>
        <v>-80.621462480318087</v>
      </c>
      <c r="B40" s="8">
        <f>(A41*-1)+A40</f>
        <v>-5.6930917632352021</v>
      </c>
      <c r="C40" s="8">
        <f>(B40/2)+A28</f>
        <v>0</v>
      </c>
      <c r="D40" s="4"/>
      <c r="E40" s="8">
        <f>(C40*A28)+D33</f>
        <v>7.469882626832657</v>
      </c>
      <c r="F40" s="21">
        <f>A36*Q41/Q41</f>
        <v>147.21903143008205</v>
      </c>
      <c r="G40" s="21">
        <f>(E40+F40)</f>
        <v>154.68891405691471</v>
      </c>
      <c r="H40" s="5">
        <f>(O41+H38)/2</f>
        <v>1073.0419810887336</v>
      </c>
      <c r="I40" s="5"/>
      <c r="J40" s="5"/>
      <c r="K40" s="5"/>
      <c r="L40" s="5"/>
      <c r="M40" s="5"/>
      <c r="N40" s="21">
        <f>(O37+H37+O37)/3</f>
        <v>957.00731499735457</v>
      </c>
      <c r="O40" s="2">
        <f>((B31+E39)/2)*Q41/Q33</f>
        <v>455.24272219413439</v>
      </c>
      <c r="P40" s="2">
        <f>D36*Q41/Q33</f>
        <v>886.26799215864617</v>
      </c>
      <c r="Q40" s="44">
        <f>((Q39*Q38*C42*-1)*Q41*Q30*Q31)*-3.444</f>
        <v>-201.62254289639927</v>
      </c>
      <c r="R40" s="16"/>
      <c r="S40" s="7"/>
      <c r="T40" s="8">
        <f>(T28*-1)+T35</f>
        <v>-80.237501968035303</v>
      </c>
      <c r="U40" s="8">
        <f>(T41*-1)+T40</f>
        <v>-7.1981501333726783</v>
      </c>
      <c r="V40" s="8">
        <f>(U40/2)+T28</f>
        <v>0</v>
      </c>
      <c r="W40" s="4"/>
      <c r="X40" s="8">
        <f>(V40*T28)+W33</f>
        <v>7.8173501809458159</v>
      </c>
      <c r="Y40" s="21">
        <f>T36*AJ41/AJ41</f>
        <v>148.17436657990638</v>
      </c>
      <c r="Z40" s="21">
        <f>(X40+Y40)</f>
        <v>155.9917167608522</v>
      </c>
      <c r="AA40" s="5">
        <f>(AH41+AA38)/2</f>
        <v>1073.3940985104448</v>
      </c>
      <c r="AB40" s="5"/>
      <c r="AC40" s="5"/>
      <c r="AD40" s="5"/>
      <c r="AE40" s="5"/>
      <c r="AF40" s="5"/>
      <c r="AG40" s="21">
        <f>(AH37+AA37+AH37)/3</f>
        <v>955.60013742505316</v>
      </c>
      <c r="AH40" s="2">
        <f>((U31+X39)/2)*AJ41/AJ33</f>
        <v>452.9146073891896</v>
      </c>
      <c r="AI40" s="2">
        <f>W36*AJ41/AJ33</f>
        <v>884.81708430404626</v>
      </c>
      <c r="AJ40" s="44">
        <f>((AJ39*AJ38*V42*-1)*AJ41*AJ30*AJ31)*-3.444</f>
        <v>-2.8740083790783615</v>
      </c>
      <c r="AK40" s="16"/>
      <c r="AL40" s="7"/>
    </row>
    <row r="41" spans="1:38" x14ac:dyDescent="0.25">
      <c r="A41" s="8">
        <f>A28+A35</f>
        <v>-74.928370717082885</v>
      </c>
      <c r="B41" s="8">
        <f>(A42+(A40*-1)+A41)</f>
        <v>-149.85674143416577</v>
      </c>
      <c r="C41" s="4">
        <f>(B41/10)</f>
        <v>-14.985674143416578</v>
      </c>
      <c r="D41" s="4"/>
      <c r="E41" s="4">
        <f>((D37+B38)/2)*Q41</f>
        <v>897.55092125394185</v>
      </c>
      <c r="F41" s="5">
        <f>((E36+B38)/2)*Q41/Q33</f>
        <v>1140.5943198681337</v>
      </c>
      <c r="G41" s="5"/>
      <c r="H41" s="5">
        <f>(Q42/2)</f>
        <v>410.61395515252815</v>
      </c>
      <c r="I41" s="5"/>
      <c r="J41" s="5"/>
      <c r="K41" s="5"/>
      <c r="L41" s="5"/>
      <c r="M41" s="5"/>
      <c r="N41" s="21">
        <f>(Q42/2)/Q33</f>
        <v>456.23772794725346</v>
      </c>
      <c r="O41" s="2">
        <f>E36*Q41/Q33</f>
        <v>1827.8369930300985</v>
      </c>
      <c r="P41" s="2">
        <f>((B28+A31)/2)*Q41/Q33</f>
        <v>940.24232653395995</v>
      </c>
      <c r="Q41" s="33">
        <f>ROUND(O34,N42)</f>
        <v>3.65</v>
      </c>
      <c r="R41" s="16"/>
      <c r="S41" s="7"/>
      <c r="T41" s="8">
        <f>T28+T35</f>
        <v>-73.039351834662625</v>
      </c>
      <c r="U41" s="8">
        <f>(T42+(T40*-1)+T41)</f>
        <v>-146.07870366932525</v>
      </c>
      <c r="V41" s="4">
        <f>(U41/10)</f>
        <v>-14.607870366932525</v>
      </c>
      <c r="W41" s="4"/>
      <c r="X41" s="4">
        <f>((W37+U38)/2)*AJ41</f>
        <v>508.86370892639434</v>
      </c>
      <c r="Y41" s="5">
        <f>((X36+U38)/2)*AJ41/AJ33</f>
        <v>1140.5943198681337</v>
      </c>
      <c r="Z41" s="5"/>
      <c r="AA41" s="5">
        <f>(AJ42/2)</f>
        <v>232.68124125309927</v>
      </c>
      <c r="AB41" s="5"/>
      <c r="AC41" s="5"/>
      <c r="AD41" s="5"/>
      <c r="AE41" s="5"/>
      <c r="AF41" s="5"/>
      <c r="AG41" s="21">
        <f>(AJ42/2)/AJ33</f>
        <v>456.23772794725346</v>
      </c>
      <c r="AH41" s="2">
        <f>X36*AJ41/AJ33</f>
        <v>1828.6029144302101</v>
      </c>
      <c r="AI41" s="2">
        <f>((U28+T31)/2)*AJ41/AJ33</f>
        <v>939.35500271541218</v>
      </c>
      <c r="AJ41" s="33">
        <f>ROUND(AH34,AG42)</f>
        <v>2.0699999999999998</v>
      </c>
      <c r="AK41" s="16"/>
      <c r="AL41" s="7"/>
    </row>
    <row r="42" spans="1:38" x14ac:dyDescent="0.25">
      <c r="A42" s="21">
        <f>(A40+A41)</f>
        <v>-155.54983319740097</v>
      </c>
      <c r="B42" s="5"/>
      <c r="C42" s="12">
        <f>INT(C35)-C35+N42</f>
        <v>1.1025176503752974</v>
      </c>
      <c r="D42" s="5"/>
      <c r="E42" s="21" t="s">
        <v>3</v>
      </c>
      <c r="F42" s="5">
        <f>((O42+B38+E36)/3)*Q41/Q33</f>
        <v>2187.7069177412782</v>
      </c>
      <c r="G42" s="5"/>
      <c r="H42" s="5">
        <f>ROUND(H41,2)</f>
        <v>410.61</v>
      </c>
      <c r="I42" s="5"/>
      <c r="J42" s="5"/>
      <c r="K42" s="5"/>
      <c r="L42" s="5"/>
      <c r="M42" s="5"/>
      <c r="N42" s="5">
        <v>2</v>
      </c>
      <c r="O42" s="2">
        <f>((B28+B38+E36)/3)*Q41/Q33</f>
        <v>1055.8188772983044</v>
      </c>
      <c r="P42" s="21">
        <f>(Q42/Q41)</f>
        <v>224.99394802878254</v>
      </c>
      <c r="Q42" s="2">
        <f>P28*Q33</f>
        <v>821.2279103050563</v>
      </c>
      <c r="R42" s="16"/>
      <c r="S42" s="7"/>
      <c r="T42" s="21">
        <f>(T40+T41)</f>
        <v>-153.27685380269793</v>
      </c>
      <c r="U42" s="5"/>
      <c r="V42" s="12">
        <f>INT(V35)-V35+AG42</f>
        <v>1.8738131297952805</v>
      </c>
      <c r="W42" s="5"/>
      <c r="X42" s="21" t="s">
        <v>3</v>
      </c>
      <c r="Y42" s="5">
        <f>((AH42+U38+X36)/3)*AJ41/AJ33</f>
        <v>2188.2027162439949</v>
      </c>
      <c r="Z42" s="5"/>
      <c r="AA42" s="5">
        <f>ROUND(AA41,2)</f>
        <v>232.68</v>
      </c>
      <c r="AB42" s="5"/>
      <c r="AC42" s="5"/>
      <c r="AD42" s="5"/>
      <c r="AE42" s="5"/>
      <c r="AF42" s="5"/>
      <c r="AG42" s="5">
        <v>2</v>
      </c>
      <c r="AH42" s="2">
        <f>((U28+U38+X36)/3)*AJ41/AJ33</f>
        <v>1055.335241346771</v>
      </c>
      <c r="AI42" s="21">
        <f>(AJ42/AJ41)</f>
        <v>224.81279348125534</v>
      </c>
      <c r="AJ42" s="2">
        <f>AI28*AJ33</f>
        <v>465.36248250619855</v>
      </c>
      <c r="AK42" s="16"/>
      <c r="AL42" s="7"/>
    </row>
    <row r="43" spans="1:38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 t="s">
        <v>4</v>
      </c>
      <c r="Q43" s="16"/>
      <c r="R43" s="16"/>
      <c r="S43" s="7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 t="s">
        <v>4</v>
      </c>
      <c r="AJ43" s="16"/>
      <c r="AK43" s="16"/>
      <c r="AL43" s="7"/>
    </row>
    <row r="44" spans="1:38" x14ac:dyDescent="0.25">
      <c r="A44" s="16"/>
      <c r="B44" s="16"/>
      <c r="C44" s="16"/>
      <c r="D44" s="16"/>
      <c r="E44" s="16"/>
      <c r="F44" s="16"/>
      <c r="G44" s="16"/>
      <c r="H44" s="16"/>
      <c r="I44" s="7"/>
      <c r="J44" s="7"/>
      <c r="K44" s="7"/>
      <c r="L44" s="7"/>
      <c r="M44" s="7"/>
      <c r="N44" s="16"/>
      <c r="O44" s="16"/>
      <c r="P44" s="16"/>
      <c r="Q44" s="16"/>
      <c r="R44" s="16"/>
      <c r="S44" s="7"/>
      <c r="T44" s="16"/>
      <c r="U44" s="16"/>
      <c r="V44" s="16"/>
      <c r="W44" s="16"/>
      <c r="X44" s="16"/>
      <c r="Y44" s="16"/>
      <c r="Z44" s="16"/>
      <c r="AA44" s="16"/>
      <c r="AB44" s="7"/>
      <c r="AC44" s="7"/>
      <c r="AD44" s="7"/>
      <c r="AE44" s="7"/>
      <c r="AF44" s="7"/>
      <c r="AG44" s="16"/>
      <c r="AH44" s="16"/>
      <c r="AI44" s="16"/>
      <c r="AJ44" s="16"/>
      <c r="AK44" s="16"/>
      <c r="AL44" s="7"/>
    </row>
    <row r="45" spans="1:38" x14ac:dyDescent="0.25">
      <c r="A45" s="16"/>
      <c r="B45" s="16"/>
      <c r="C45" s="16"/>
      <c r="D45" s="16"/>
      <c r="E45" s="16"/>
      <c r="F45" s="16"/>
      <c r="G45" s="16"/>
      <c r="H45" s="16"/>
      <c r="I45" s="7"/>
      <c r="J45" s="7"/>
      <c r="K45" s="7"/>
      <c r="L45" s="7"/>
      <c r="M45" s="7"/>
      <c r="N45" s="16"/>
      <c r="O45" s="16"/>
      <c r="P45" s="16"/>
      <c r="Q45" s="16"/>
      <c r="R45" s="16"/>
      <c r="S45" s="7"/>
      <c r="T45" s="16"/>
      <c r="U45" s="16"/>
      <c r="V45" s="16"/>
      <c r="W45" s="16"/>
      <c r="X45" s="16"/>
      <c r="Y45" s="16"/>
      <c r="Z45" s="16"/>
      <c r="AA45" s="16"/>
      <c r="AB45" s="7"/>
      <c r="AC45" s="7"/>
      <c r="AD45" s="7"/>
      <c r="AE45" s="7"/>
      <c r="AF45" s="7"/>
      <c r="AG45" s="16"/>
      <c r="AH45" s="16"/>
      <c r="AI45" s="16"/>
      <c r="AJ45" s="16"/>
      <c r="AK45" s="16"/>
      <c r="AL45" s="7"/>
    </row>
    <row r="46" spans="1:38" x14ac:dyDescent="0.25">
      <c r="A46" s="16"/>
      <c r="B46" s="16"/>
      <c r="C46" s="16"/>
      <c r="D46" s="16"/>
      <c r="E46" s="16"/>
      <c r="F46" s="16"/>
      <c r="G46" s="16"/>
      <c r="H46" s="16"/>
      <c r="I46" s="7"/>
      <c r="J46" s="7"/>
      <c r="K46" s="7"/>
      <c r="L46" s="7"/>
      <c r="M46" s="7"/>
      <c r="N46" s="16"/>
      <c r="O46" s="16"/>
      <c r="P46" s="16"/>
      <c r="Q46" s="16"/>
      <c r="R46" s="16"/>
      <c r="S46" s="7"/>
      <c r="T46" s="16"/>
      <c r="U46" s="16"/>
      <c r="V46" s="16"/>
      <c r="W46" s="16"/>
      <c r="X46" s="16"/>
      <c r="Y46" s="16"/>
      <c r="Z46" s="16"/>
      <c r="AA46" s="16"/>
      <c r="AB46" s="7"/>
      <c r="AC46" s="7"/>
      <c r="AD46" s="7"/>
      <c r="AE46" s="7"/>
      <c r="AF46" s="7"/>
      <c r="AG46" s="16"/>
      <c r="AH46" s="16"/>
      <c r="AI46" s="16"/>
      <c r="AJ46" s="16"/>
      <c r="AK46" s="16"/>
      <c r="AL46" s="7"/>
    </row>
    <row r="47" spans="1:38" x14ac:dyDescent="0.25">
      <c r="A47" s="16"/>
      <c r="B47" s="16"/>
      <c r="C47" s="16"/>
      <c r="D47" s="16"/>
      <c r="E47" s="16"/>
      <c r="F47" s="16"/>
      <c r="G47" s="16"/>
      <c r="H47" s="16"/>
      <c r="I47" s="7"/>
      <c r="J47" s="7"/>
      <c r="K47" s="7"/>
      <c r="L47" s="7"/>
      <c r="M47" s="7"/>
      <c r="N47" s="16"/>
      <c r="O47" s="16"/>
      <c r="P47" s="16"/>
      <c r="Q47" s="16"/>
      <c r="R47" s="16"/>
      <c r="S47" s="7"/>
      <c r="T47" s="16"/>
      <c r="U47" s="16"/>
      <c r="V47" s="16"/>
      <c r="W47" s="16"/>
      <c r="X47" s="16"/>
      <c r="Y47" s="16"/>
      <c r="Z47" s="16"/>
      <c r="AA47" s="16"/>
      <c r="AB47" s="7"/>
      <c r="AC47" s="7"/>
      <c r="AD47" s="7"/>
      <c r="AE47" s="7"/>
      <c r="AF47" s="7"/>
      <c r="AG47" s="16"/>
      <c r="AH47" s="16"/>
      <c r="AI47" s="16"/>
      <c r="AJ47" s="16"/>
      <c r="AK47" s="16"/>
      <c r="AL47" s="7"/>
    </row>
    <row r="48" spans="1:38" x14ac:dyDescent="0.25">
      <c r="A48" s="16"/>
      <c r="B48" s="16"/>
      <c r="C48" s="16"/>
      <c r="D48" s="16"/>
      <c r="E48" s="16"/>
      <c r="F48" s="16"/>
      <c r="G48" s="16"/>
      <c r="H48" s="16"/>
      <c r="I48" s="7"/>
      <c r="J48" s="7"/>
      <c r="K48" s="7"/>
      <c r="L48" s="7"/>
      <c r="M48" s="7"/>
      <c r="N48" s="16"/>
      <c r="O48" s="16"/>
      <c r="P48" s="16"/>
      <c r="Q48" s="16"/>
      <c r="R48" s="16"/>
      <c r="S48" s="7"/>
      <c r="T48" s="16"/>
      <c r="U48" s="16"/>
      <c r="V48" s="16"/>
      <c r="W48" s="16"/>
      <c r="X48" s="16"/>
      <c r="Y48" s="16"/>
      <c r="Z48" s="16"/>
      <c r="AA48" s="16"/>
      <c r="AB48" s="7"/>
      <c r="AC48" s="7"/>
      <c r="AD48" s="7"/>
      <c r="AE48" s="7"/>
      <c r="AF48" s="7"/>
      <c r="AG48" s="16"/>
      <c r="AH48" s="16"/>
      <c r="AI48" s="16"/>
      <c r="AJ48" s="16"/>
      <c r="AK48" s="16"/>
      <c r="AL48" s="7"/>
    </row>
    <row r="49" spans="1:38" x14ac:dyDescent="0.25">
      <c r="A49" s="16"/>
      <c r="B49" s="16"/>
      <c r="C49" s="16"/>
      <c r="D49" s="16"/>
      <c r="E49" s="16"/>
      <c r="F49" s="16"/>
      <c r="G49" s="16"/>
      <c r="H49" s="16"/>
      <c r="I49" s="7"/>
      <c r="J49" s="7"/>
      <c r="K49" s="7"/>
      <c r="L49" s="7"/>
      <c r="M49" s="7"/>
      <c r="N49" s="16"/>
      <c r="O49" s="16"/>
      <c r="P49" s="16"/>
      <c r="Q49" s="16"/>
      <c r="R49" s="16"/>
      <c r="S49" s="7"/>
      <c r="T49" s="16"/>
      <c r="U49" s="16"/>
      <c r="V49" s="16"/>
      <c r="W49" s="16"/>
      <c r="X49" s="16"/>
      <c r="Y49" s="16"/>
      <c r="Z49" s="16"/>
      <c r="AA49" s="16"/>
      <c r="AB49" s="7"/>
      <c r="AC49" s="7"/>
      <c r="AD49" s="7"/>
      <c r="AE49" s="7"/>
      <c r="AF49" s="7"/>
      <c r="AG49" s="16"/>
      <c r="AH49" s="16"/>
      <c r="AI49" s="16"/>
      <c r="AJ49" s="16"/>
      <c r="AK49" s="16"/>
      <c r="AL49" s="7"/>
    </row>
    <row r="50" spans="1:38" x14ac:dyDescent="0.25">
      <c r="A50" s="16"/>
      <c r="B50" s="16"/>
      <c r="C50" s="16"/>
      <c r="D50" s="16"/>
      <c r="E50" s="16"/>
      <c r="F50" s="16"/>
      <c r="G50" s="16"/>
      <c r="H50" s="16"/>
      <c r="I50" s="7"/>
      <c r="J50" s="7"/>
      <c r="K50" s="7"/>
      <c r="L50" s="7"/>
      <c r="M50" s="7"/>
      <c r="N50" s="16"/>
      <c r="O50" s="16"/>
      <c r="P50" s="16"/>
      <c r="Q50" s="16"/>
      <c r="R50" s="16"/>
      <c r="S50" s="7"/>
      <c r="T50" s="16"/>
      <c r="U50" s="16"/>
      <c r="V50" s="16"/>
      <c r="W50" s="16"/>
      <c r="X50" s="16"/>
      <c r="Y50" s="16"/>
      <c r="Z50" s="16"/>
      <c r="AA50" s="16"/>
      <c r="AB50" s="7"/>
      <c r="AC50" s="7"/>
      <c r="AD50" s="7"/>
      <c r="AE50" s="7"/>
      <c r="AF50" s="7"/>
      <c r="AG50" s="16"/>
      <c r="AH50" s="16"/>
      <c r="AI50" s="16"/>
      <c r="AJ50" s="16"/>
      <c r="AK50" s="16"/>
      <c r="AL50" s="7"/>
    </row>
    <row r="51" spans="1:38" x14ac:dyDescent="0.25">
      <c r="A51" s="16"/>
      <c r="B51" s="16"/>
      <c r="C51" s="16"/>
      <c r="D51" s="16"/>
      <c r="E51" s="16"/>
      <c r="F51" s="16"/>
      <c r="G51" s="16"/>
      <c r="H51" s="16"/>
      <c r="I51" s="7"/>
      <c r="J51" s="7"/>
      <c r="K51" s="7"/>
      <c r="L51" s="7"/>
      <c r="M51" s="7"/>
      <c r="N51" s="16"/>
      <c r="O51" s="16"/>
      <c r="P51" s="16"/>
      <c r="Q51" s="16"/>
      <c r="R51" s="16"/>
      <c r="S51" s="7"/>
      <c r="T51" s="16"/>
      <c r="U51" s="16"/>
      <c r="V51" s="16"/>
      <c r="W51" s="16"/>
      <c r="X51" s="16"/>
      <c r="Y51" s="16"/>
      <c r="Z51" s="16"/>
      <c r="AA51" s="16"/>
      <c r="AB51" s="7"/>
      <c r="AC51" s="7"/>
      <c r="AD51" s="7"/>
      <c r="AE51" s="7"/>
      <c r="AF51" s="7"/>
      <c r="AG51" s="16"/>
      <c r="AH51" s="16"/>
      <c r="AI51" s="16"/>
      <c r="AJ51" s="16"/>
      <c r="AK51" s="16"/>
      <c r="AL51" s="7"/>
    </row>
    <row r="52" spans="1:38" x14ac:dyDescent="0.25">
      <c r="A52" s="2">
        <f>P67</f>
        <v>224.74764923510025</v>
      </c>
      <c r="B52" s="4">
        <f>(A52*10^0.125)</f>
        <v>299.70580708333125</v>
      </c>
      <c r="C52" s="4">
        <f>INT(B52)</f>
        <v>299</v>
      </c>
      <c r="D52" s="4">
        <f>C52*4</f>
        <v>1196</v>
      </c>
      <c r="E52" s="4">
        <f>D52/5</f>
        <v>239.2</v>
      </c>
      <c r="F52" s="5">
        <f>E52^2</f>
        <v>57216.639999999992</v>
      </c>
      <c r="G52" s="5">
        <f>(F52^0.125)</f>
        <v>3.9326952517764404</v>
      </c>
      <c r="H52" s="5">
        <f>G52/3</f>
        <v>1.3108984172588134</v>
      </c>
      <c r="I52" s="5">
        <f>(H52*100)</f>
        <v>131.08984172588134</v>
      </c>
      <c r="J52" s="5">
        <f>(F52/100)</f>
        <v>572.16639999999995</v>
      </c>
      <c r="K52" s="5">
        <f>(J52+I52)/2</f>
        <v>351.62812086294065</v>
      </c>
      <c r="L52" s="5">
        <f>(K52+I52)/2</f>
        <v>241.358981294411</v>
      </c>
      <c r="M52" s="5">
        <f>(L52+A52)/2</f>
        <v>233.05331526475561</v>
      </c>
      <c r="N52" s="5">
        <f>M52*100^0.5</f>
        <v>2330.5331526475561</v>
      </c>
      <c r="O52" s="5">
        <f>INT(N52)/10</f>
        <v>233</v>
      </c>
      <c r="P52" s="5">
        <f>(O52)^2/10000</f>
        <v>5.4288999999999996</v>
      </c>
      <c r="Q52" s="5">
        <f>(P52+I52+M52)/3</f>
        <v>123.19068566354565</v>
      </c>
      <c r="R52" s="6">
        <f>Q57^0.5</f>
        <v>30.413005635566734</v>
      </c>
      <c r="S52" s="7"/>
      <c r="T52" s="2">
        <f>AI67</f>
        <v>224.70424070796645</v>
      </c>
      <c r="U52" s="4">
        <f>(T52*10^0.125)</f>
        <v>299.64792088205968</v>
      </c>
      <c r="V52" s="4">
        <f>INT(U52)</f>
        <v>299</v>
      </c>
      <c r="W52" s="4">
        <f>V52*4</f>
        <v>1196</v>
      </c>
      <c r="X52" s="4">
        <f>W52/5</f>
        <v>239.2</v>
      </c>
      <c r="Y52" s="5">
        <f>X52^2</f>
        <v>57216.639999999992</v>
      </c>
      <c r="Z52" s="5">
        <f>(Y52^0.125)</f>
        <v>3.9326952517764404</v>
      </c>
      <c r="AA52" s="5">
        <f>Z52/3</f>
        <v>1.3108984172588134</v>
      </c>
      <c r="AB52" s="5">
        <f>(AA52*100)</f>
        <v>131.08984172588134</v>
      </c>
      <c r="AC52" s="5">
        <f>(Y52/100)</f>
        <v>572.16639999999995</v>
      </c>
      <c r="AD52" s="5">
        <f>(AC52+AB52)/2</f>
        <v>351.62812086294065</v>
      </c>
      <c r="AE52" s="5">
        <f>(AD52+AB52)/2</f>
        <v>241.358981294411</v>
      </c>
      <c r="AF52" s="5">
        <f>(AE52+T52)/2</f>
        <v>233.03161100118871</v>
      </c>
      <c r="AG52" s="5">
        <f>AF52*100^0.5</f>
        <v>2330.3161100118868</v>
      </c>
      <c r="AH52" s="5">
        <f>INT(AG52)/10</f>
        <v>233</v>
      </c>
      <c r="AI52" s="5">
        <f>(AH52)^2/10000</f>
        <v>5.4288999999999996</v>
      </c>
      <c r="AJ52" s="5">
        <f>(AI52+AB52+AF52)/3</f>
        <v>123.18345090902335</v>
      </c>
      <c r="AK52" s="6">
        <f>AJ57^0.5</f>
        <v>30.413005635566734</v>
      </c>
      <c r="AL52" s="7"/>
    </row>
    <row r="53" spans="1:38" x14ac:dyDescent="0.25">
      <c r="A53" s="8">
        <f>(O54-O53)</f>
        <v>3.4972871820690159</v>
      </c>
      <c r="B53" s="4">
        <f>(B54+A55)/2</f>
        <v>217.9851796499097</v>
      </c>
      <c r="C53" s="9">
        <f>(D55*C55*B55*C54*D54*A53)</f>
        <v>10668927967061.35</v>
      </c>
      <c r="D53" s="4">
        <f>(C54*C53*A53)</f>
        <v>11853001680.057749</v>
      </c>
      <c r="E53" s="8">
        <f>INT(A53+1)</f>
        <v>4</v>
      </c>
      <c r="F53" s="10">
        <f>(Q65*-1)</f>
        <v>1865.4549334060421</v>
      </c>
      <c r="G53" s="11"/>
      <c r="H53" s="2">
        <f>IF(F53&lt;0,1,-1)</f>
        <v>-1</v>
      </c>
      <c r="I53" s="11"/>
      <c r="J53" s="11"/>
      <c r="K53" s="11"/>
      <c r="L53" s="11"/>
      <c r="M53" s="11"/>
      <c r="N53" s="11">
        <f>(M52+O52)/2</f>
        <v>233.02665763237781</v>
      </c>
      <c r="O53" s="11">
        <f>N53-A52</f>
        <v>8.2790083972775506</v>
      </c>
      <c r="P53" s="11">
        <f>(Q57+R55)/2</f>
        <v>912.47545589450692</v>
      </c>
      <c r="Q53" s="12">
        <f>(Q56*A53*100)</f>
        <v>-698.48275834984122</v>
      </c>
      <c r="R53" s="6">
        <f>INT(R52)</f>
        <v>30</v>
      </c>
      <c r="S53" s="7"/>
      <c r="T53" s="8">
        <f>(AH54-AH53)</f>
        <v>3.4294613584224294</v>
      </c>
      <c r="U53" s="4">
        <f>(U54+T55)/2</f>
        <v>217.97636229283569</v>
      </c>
      <c r="V53" s="9">
        <f>(W55*V55*U55*V54*W54*T53)</f>
        <v>8599377964919.3145</v>
      </c>
      <c r="W53" s="4">
        <f>(V54*V53*T53)</f>
        <v>9815337008.9823513</v>
      </c>
      <c r="X53" s="8">
        <f>INT(T53+1)</f>
        <v>4</v>
      </c>
      <c r="Y53" s="10">
        <f>(AJ65*-1)</f>
        <v>852.20892534000075</v>
      </c>
      <c r="Z53" s="11"/>
      <c r="AA53" s="2">
        <f>IF(Y53&lt;0,1,-1)</f>
        <v>-1</v>
      </c>
      <c r="AB53" s="11"/>
      <c r="AC53" s="11"/>
      <c r="AD53" s="11"/>
      <c r="AE53" s="11"/>
      <c r="AF53" s="11"/>
      <c r="AG53" s="11">
        <f>(AF52+AH52)/2</f>
        <v>233.01580550059435</v>
      </c>
      <c r="AH53" s="11">
        <f>AG53-T52</f>
        <v>8.3115647926279053</v>
      </c>
      <c r="AI53" s="11">
        <f>(AJ57+AK55)/2</f>
        <v>912.47545589450692</v>
      </c>
      <c r="AJ53" s="12">
        <f>(AJ56*T53*100)</f>
        <v>-658.95831583248128</v>
      </c>
      <c r="AK53" s="6">
        <f>INT(AK52)</f>
        <v>30</v>
      </c>
      <c r="AL53" s="7"/>
    </row>
    <row r="54" spans="1:38" x14ac:dyDescent="0.25">
      <c r="A54" s="8">
        <f>N53</f>
        <v>233.02665763237781</v>
      </c>
      <c r="B54" s="8">
        <f>(N53+N55)/2</f>
        <v>222.99900564406573</v>
      </c>
      <c r="C54" s="4">
        <f>(A53/D55)</f>
        <v>3.1767004670225088E-4</v>
      </c>
      <c r="D54" s="4">
        <f>(A53+B55+C55+D55)</f>
        <v>25169.780501889029</v>
      </c>
      <c r="E54" s="14">
        <f>(E53*C55)</f>
        <v>12591.681342084992</v>
      </c>
      <c r="F54" s="15"/>
      <c r="G54" s="11"/>
      <c r="H54" s="11"/>
      <c r="I54" s="11"/>
      <c r="J54" s="11"/>
      <c r="K54" s="11"/>
      <c r="L54" s="11"/>
      <c r="M54" s="11">
        <f>(N53+N55)/2</f>
        <v>222.99900564406573</v>
      </c>
      <c r="N54" s="11">
        <f>(I52+N53)/2</f>
        <v>182.05824967912957</v>
      </c>
      <c r="O54" s="11">
        <f>A52-N55</f>
        <v>11.776295579346566</v>
      </c>
      <c r="P54" s="11"/>
      <c r="Q54" s="5"/>
      <c r="R54" s="16"/>
      <c r="S54" s="7"/>
      <c r="T54" s="8">
        <f>AG53</f>
        <v>233.01580550059435</v>
      </c>
      <c r="U54" s="8">
        <f>(AG53+AG55)/2</f>
        <v>222.98951002875523</v>
      </c>
      <c r="V54" s="4">
        <f>(T53/W55)</f>
        <v>3.3282218246567005E-4</v>
      </c>
      <c r="W54" s="4">
        <f>(T53+U55+V55+W55)</f>
        <v>23616.406993754394</v>
      </c>
      <c r="X54" s="14">
        <f>(X53*V55)</f>
        <v>12018.429692295502</v>
      </c>
      <c r="Y54" s="15"/>
      <c r="Z54" s="11"/>
      <c r="AA54" s="11"/>
      <c r="AB54" s="11"/>
      <c r="AC54" s="11"/>
      <c r="AD54" s="11"/>
      <c r="AE54" s="11"/>
      <c r="AF54" s="11">
        <f>(AG53+AG55)/2</f>
        <v>222.98951002875523</v>
      </c>
      <c r="AG54" s="11">
        <f>(AB52+AG53)/2</f>
        <v>182.05282361323785</v>
      </c>
      <c r="AH54" s="11">
        <f>T52-AG55</f>
        <v>11.741026151050335</v>
      </c>
      <c r="AI54" s="11"/>
      <c r="AJ54" s="5"/>
      <c r="AK54" s="16"/>
      <c r="AL54" s="7"/>
    </row>
    <row r="55" spans="1:38" x14ac:dyDescent="0.25">
      <c r="A55" s="17">
        <f>N55</f>
        <v>212.97135365575369</v>
      </c>
      <c r="B55" s="4">
        <f>G61</f>
        <v>11009.181439592856</v>
      </c>
      <c r="C55" s="4">
        <f>(B55/A53)</f>
        <v>3147.920335521248</v>
      </c>
      <c r="D55" s="4">
        <f>(A53*C55)</f>
        <v>11009.181439592856</v>
      </c>
      <c r="E55" s="8">
        <f>INT(A53)+1</f>
        <v>4</v>
      </c>
      <c r="F55" s="15">
        <f>(Q65)</f>
        <v>-1865.4549334060421</v>
      </c>
      <c r="G55" s="11"/>
      <c r="H55" s="2">
        <f>IF(F53&gt;0,-1,1)</f>
        <v>-1</v>
      </c>
      <c r="I55" s="11"/>
      <c r="J55" s="11"/>
      <c r="K55" s="11"/>
      <c r="L55" s="11"/>
      <c r="M55" s="11">
        <f>(N54+P52*2)</f>
        <v>192.91604967912957</v>
      </c>
      <c r="N55" s="11">
        <f>(N53+M55)/2</f>
        <v>212.97135365575369</v>
      </c>
      <c r="O55" s="11">
        <f>(N54+J52)/2</f>
        <v>377.11232483956474</v>
      </c>
      <c r="P55" s="2">
        <f>IF(Q65&gt;1,-1,1)</f>
        <v>1</v>
      </c>
      <c r="Q55" s="12">
        <f>F63-F60</f>
        <v>-3.968485947535461</v>
      </c>
      <c r="R55" s="6">
        <f>R53^2</f>
        <v>900</v>
      </c>
      <c r="S55" s="7"/>
      <c r="T55" s="17">
        <f>AG55</f>
        <v>212.96321455691611</v>
      </c>
      <c r="U55" s="4">
        <f>Z61</f>
        <v>10304.185054661048</v>
      </c>
      <c r="V55" s="4">
        <f>(U55/T53)</f>
        <v>3004.6074230738755</v>
      </c>
      <c r="W55" s="4">
        <f>(T53*V55)</f>
        <v>10304.185054661048</v>
      </c>
      <c r="X55" s="8">
        <f>INT(T53)+1</f>
        <v>4</v>
      </c>
      <c r="Y55" s="15">
        <f>(AJ65)</f>
        <v>-852.20892534000075</v>
      </c>
      <c r="Z55" s="11"/>
      <c r="AA55" s="2">
        <f>IF(Y53&gt;0,-1,1)</f>
        <v>-1</v>
      </c>
      <c r="AB55" s="11"/>
      <c r="AC55" s="11"/>
      <c r="AD55" s="11"/>
      <c r="AE55" s="11"/>
      <c r="AF55" s="11">
        <f>(AG54+AI52*2)</f>
        <v>192.91062361323785</v>
      </c>
      <c r="AG55" s="11">
        <f>(AG53+AF55)/2</f>
        <v>212.96321455691611</v>
      </c>
      <c r="AH55" s="11">
        <f>(AG54+AC52)/2</f>
        <v>377.10961180661889</v>
      </c>
      <c r="AI55" s="2">
        <f>IF(AJ65&gt;1,-1,1)</f>
        <v>1</v>
      </c>
      <c r="AJ55" s="12">
        <f>Y63-Y60</f>
        <v>-3.8873525194845273</v>
      </c>
      <c r="AK55" s="6">
        <f>AK53^2</f>
        <v>900</v>
      </c>
      <c r="AL55" s="7"/>
    </row>
    <row r="56" spans="1:38" x14ac:dyDescent="0.25">
      <c r="A56" s="17">
        <f>(O54+O53)+A52</f>
        <v>244.80295321172437</v>
      </c>
      <c r="B56" s="4">
        <f>(A54+B54)/2</f>
        <v>228.01283163822177</v>
      </c>
      <c r="C56" s="8">
        <f>(C54)</f>
        <v>3.1767004670225088E-4</v>
      </c>
      <c r="D56" s="4">
        <f>(D53*D54*D55*B55*A53)</f>
        <v>1.2645882111799328E+23</v>
      </c>
      <c r="E56" s="4">
        <f>(C56*A53)</f>
        <v>1.1109833824590476E-3</v>
      </c>
      <c r="F56" s="11">
        <f>(F58/O58)*O59-F59</f>
        <v>-1859.4787234962612</v>
      </c>
      <c r="G56" s="11"/>
      <c r="H56" s="11"/>
      <c r="I56" s="11"/>
      <c r="J56" s="11"/>
      <c r="K56" s="11"/>
      <c r="L56" s="11"/>
      <c r="M56" s="11"/>
      <c r="N56" s="9">
        <f>(F56+Q65)*F59</f>
        <v>-6948695.866878611</v>
      </c>
      <c r="O56" s="2">
        <f>H55</f>
        <v>-1</v>
      </c>
      <c r="P56" s="2">
        <f>IF(Q65&lt;100,1,-1)</f>
        <v>1</v>
      </c>
      <c r="Q56" s="12">
        <f>Q55+F63</f>
        <v>-1.9972130453885537</v>
      </c>
      <c r="R56" s="16"/>
      <c r="S56" s="7"/>
      <c r="T56" s="17">
        <f>(AH54+AH53)+T52</f>
        <v>244.75683165164469</v>
      </c>
      <c r="U56" s="4">
        <f>(T54+U54)/2</f>
        <v>228.00265776467478</v>
      </c>
      <c r="V56" s="8">
        <f>(V54)</f>
        <v>3.3282218246567005E-4</v>
      </c>
      <c r="W56" s="4">
        <f>(W53*W54*W55*U55*T53)</f>
        <v>8.4405792793299857E+22</v>
      </c>
      <c r="X56" s="4">
        <f>(V56*T53)</f>
        <v>1.1414008139918345E-3</v>
      </c>
      <c r="Y56" s="11">
        <f>(Y58/AH58)*AH59-Y59</f>
        <v>-848.98361980525988</v>
      </c>
      <c r="Z56" s="11"/>
      <c r="AA56" s="11"/>
      <c r="AB56" s="11"/>
      <c r="AC56" s="11"/>
      <c r="AD56" s="11"/>
      <c r="AE56" s="11"/>
      <c r="AF56" s="11"/>
      <c r="AG56" s="9">
        <f>(Y56+AJ65)*Y59</f>
        <v>-1449771.4706946635</v>
      </c>
      <c r="AH56" s="2">
        <f>AA55</f>
        <v>-1</v>
      </c>
      <c r="AI56" s="2">
        <f>IF(AJ65&lt;100,1,-1)</f>
        <v>1</v>
      </c>
      <c r="AJ56" s="12">
        <f>AJ55+Y63</f>
        <v>-1.9214630140507127</v>
      </c>
      <c r="AK56" s="16"/>
      <c r="AL56" s="7"/>
    </row>
    <row r="57" spans="1:38" x14ac:dyDescent="0.25">
      <c r="A57" s="17">
        <f>(O54*-1-O53)+A52</f>
        <v>204.69234525847614</v>
      </c>
      <c r="B57" s="4">
        <f>(B54+B53)/2</f>
        <v>220.49209264698771</v>
      </c>
      <c r="C57" s="4">
        <f>(B53+A55)/2</f>
        <v>215.47826665283168</v>
      </c>
      <c r="D57" s="4">
        <f>D53</f>
        <v>11853001680.057749</v>
      </c>
      <c r="E57" s="4">
        <f>(B54+A52)/2</f>
        <v>223.87332743958299</v>
      </c>
      <c r="F57" s="11">
        <f>(F59/O59)</f>
        <v>510.46413363237917</v>
      </c>
      <c r="G57" s="11"/>
      <c r="H57" s="11"/>
      <c r="I57" s="11"/>
      <c r="J57" s="11"/>
      <c r="K57" s="11"/>
      <c r="L57" s="11"/>
      <c r="M57" s="11"/>
      <c r="N57" s="11"/>
      <c r="O57" s="2">
        <f>H53</f>
        <v>-1</v>
      </c>
      <c r="P57" s="2">
        <f>IF(Q65&lt;0,-1,1)</f>
        <v>-1</v>
      </c>
      <c r="Q57" s="15">
        <f>Q32</f>
        <v>924.95091178901396</v>
      </c>
      <c r="R57" s="16"/>
      <c r="S57" s="7"/>
      <c r="T57" s="17">
        <f>(AH54*-1-AH53)+T52</f>
        <v>204.65164976428821</v>
      </c>
      <c r="U57" s="4">
        <f>(U54+U53)/2</f>
        <v>220.48293616079548</v>
      </c>
      <c r="V57" s="4">
        <f>(U53+T55)/2</f>
        <v>215.4697884248759</v>
      </c>
      <c r="W57" s="4">
        <f>W53</f>
        <v>9815337008.9823513</v>
      </c>
      <c r="X57" s="4">
        <f>(U54+T52)/2</f>
        <v>223.84687536836083</v>
      </c>
      <c r="Y57" s="11">
        <f>(Y59/AH59)</f>
        <v>411.52575140087305</v>
      </c>
      <c r="Z57" s="11"/>
      <c r="AA57" s="11"/>
      <c r="AB57" s="11"/>
      <c r="AC57" s="11"/>
      <c r="AD57" s="11"/>
      <c r="AE57" s="11"/>
      <c r="AF57" s="11"/>
      <c r="AG57" s="11"/>
      <c r="AH57" s="2">
        <f>AA53</f>
        <v>-1</v>
      </c>
      <c r="AI57" s="2">
        <f>IF(AJ65&lt;0,-1,1)</f>
        <v>-1</v>
      </c>
      <c r="AJ57" s="15">
        <f>AJ32</f>
        <v>924.95091178901396</v>
      </c>
      <c r="AK57" s="16"/>
      <c r="AL57" s="7"/>
    </row>
    <row r="58" spans="1:38" x14ac:dyDescent="0.25">
      <c r="A58" s="8">
        <f>(A57-A56)+A52-A54</f>
        <v>-48.389616350525785</v>
      </c>
      <c r="B58" s="8">
        <f>(A58*-1)+A59</f>
        <v>20.055303976624117</v>
      </c>
      <c r="C58" s="8">
        <f>(B58/2)+A53</f>
        <v>13.524939170381074</v>
      </c>
      <c r="D58" s="8">
        <f>(C66+C59+B65+B58+A53)*-1</f>
        <v>7.7652347840217431</v>
      </c>
      <c r="E58" s="8">
        <f>(C58*A53)*D58</f>
        <v>367.30023646122174</v>
      </c>
      <c r="F58" s="2">
        <f>(E58*A53)</f>
        <v>1284.5544089467494</v>
      </c>
      <c r="G58" s="2">
        <f>(F58+E58)</f>
        <v>1651.854645407971</v>
      </c>
      <c r="H58" s="11"/>
      <c r="I58" s="11"/>
      <c r="J58" s="11"/>
      <c r="K58" s="11"/>
      <c r="L58" s="11"/>
      <c r="M58" s="11"/>
      <c r="N58" s="11"/>
      <c r="O58" s="11">
        <v>785.5</v>
      </c>
      <c r="P58" s="2">
        <f>IF(N56&gt;-1,1,-1)</f>
        <v>-1</v>
      </c>
      <c r="Q58" s="5">
        <f>Q10</f>
        <v>0.9</v>
      </c>
      <c r="R58" s="16"/>
      <c r="S58" s="7"/>
      <c r="T58" s="8">
        <f>(T57-T56)+T52-T54</f>
        <v>-48.416746679984385</v>
      </c>
      <c r="U58" s="8">
        <f>(T58*-1)+T59</f>
        <v>20.05259094367824</v>
      </c>
      <c r="V58" s="8">
        <f>(U58/2)+T53</f>
        <v>13.455756830261549</v>
      </c>
      <c r="W58" s="8">
        <f>(V66+V59+U65+U58+T53)*-1</f>
        <v>7.730507962314686</v>
      </c>
      <c r="X58" s="8">
        <f>(V58*T53)*W58</f>
        <v>356.73200572331058</v>
      </c>
      <c r="Y58" s="2">
        <f>(X58*T53)</f>
        <v>1223.3986289406225</v>
      </c>
      <c r="Z58" s="2">
        <f>(Y58+X58)</f>
        <v>1580.1306346639331</v>
      </c>
      <c r="AA58" s="11"/>
      <c r="AB58" s="11"/>
      <c r="AC58" s="11"/>
      <c r="AD58" s="11"/>
      <c r="AE58" s="11"/>
      <c r="AF58" s="11"/>
      <c r="AG58" s="11"/>
      <c r="AH58" s="11">
        <v>785.5</v>
      </c>
      <c r="AI58" s="2">
        <f>IF(AG56&gt;-1,1,-1)</f>
        <v>-1</v>
      </c>
      <c r="AJ58" s="5">
        <f>AJ10</f>
        <v>0.51</v>
      </c>
      <c r="AK58" s="16"/>
      <c r="AL58" s="7"/>
    </row>
    <row r="59" spans="1:38" x14ac:dyDescent="0.25">
      <c r="A59" s="8">
        <f>(A57-A56)+A52-A55</f>
        <v>-28.334312373901668</v>
      </c>
      <c r="B59" s="8">
        <f>A60+(A59*-1)+A58</f>
        <v>-96.779232701051569</v>
      </c>
      <c r="C59" s="4">
        <f>(B59/10)</f>
        <v>-9.6779232701051576</v>
      </c>
      <c r="D59" s="4"/>
      <c r="E59" s="4"/>
      <c r="F59" s="11">
        <f>(Q65*-1)</f>
        <v>1865.4549334060421</v>
      </c>
      <c r="G59" s="11"/>
      <c r="H59" s="11"/>
      <c r="I59" s="11"/>
      <c r="J59" s="11"/>
      <c r="K59" s="11"/>
      <c r="L59" s="11"/>
      <c r="M59" s="11"/>
      <c r="N59" s="11"/>
      <c r="O59" s="11">
        <f>(H67/1000)*8.9</f>
        <v>3.6544290000000004</v>
      </c>
      <c r="P59" s="2">
        <f>(P61+O63)/2</f>
        <v>890.10886276270162</v>
      </c>
      <c r="Q59" s="5">
        <f>H67/(Q66*1000)</f>
        <v>0.1123727422003284</v>
      </c>
      <c r="R59" s="16"/>
      <c r="S59" s="7"/>
      <c r="T59" s="8">
        <f>(T57-T56)+T52-T55</f>
        <v>-28.364155736306145</v>
      </c>
      <c r="U59" s="8">
        <f>T60+(T59*-1)+T58</f>
        <v>-96.83349335996877</v>
      </c>
      <c r="V59" s="4">
        <f>(U59/10)</f>
        <v>-9.6833493359968763</v>
      </c>
      <c r="W59" s="4"/>
      <c r="X59" s="4"/>
      <c r="Y59" s="11">
        <f>(AJ65*-1)</f>
        <v>852.20892534000075</v>
      </c>
      <c r="Z59" s="11"/>
      <c r="AA59" s="11"/>
      <c r="AB59" s="11"/>
      <c r="AC59" s="11"/>
      <c r="AD59" s="11"/>
      <c r="AE59" s="11"/>
      <c r="AF59" s="11"/>
      <c r="AG59" s="11"/>
      <c r="AH59" s="11">
        <f>(AA67/1000)*8.9</f>
        <v>2.0708519999999999</v>
      </c>
      <c r="AI59" s="2">
        <f>(AI61+AH63)/2</f>
        <v>890.24432068379429</v>
      </c>
      <c r="AJ59" s="5">
        <f>AA67/(AJ66*1000)</f>
        <v>0.11235152100434573</v>
      </c>
      <c r="AK59" s="16"/>
      <c r="AL59" s="7"/>
    </row>
    <row r="60" spans="1:38" x14ac:dyDescent="0.25">
      <c r="A60" s="8">
        <f>(A59+A58)</f>
        <v>-76.723928724427452</v>
      </c>
      <c r="B60" s="4"/>
      <c r="C60" s="4">
        <f>((F60+E60*-1)+E64)*10-A53+O60*-1-C56*111</f>
        <v>10.220529221538882</v>
      </c>
      <c r="D60" s="4"/>
      <c r="E60" s="4">
        <f>(E64+O60+F60)</f>
        <v>-6.1264628997642845E-2</v>
      </c>
      <c r="F60" s="11">
        <f>(O60*E64)</f>
        <v>5.9397588496823683</v>
      </c>
      <c r="G60" s="11"/>
      <c r="H60" s="21">
        <f>(P61+H61)/2</f>
        <v>679.27971997051804</v>
      </c>
      <c r="I60" s="11"/>
      <c r="J60" s="11"/>
      <c r="K60" s="11"/>
      <c r="L60" s="11"/>
      <c r="M60" s="11"/>
      <c r="N60" s="11">
        <f>(A56-A52)-(A52-B57)</f>
        <v>15.799747388511577</v>
      </c>
      <c r="O60" s="2">
        <f>(P60+A53+C56*10)</f>
        <v>-1.2502797980719866</v>
      </c>
      <c r="P60" s="11">
        <f>E64</f>
        <v>-4.750743680608025</v>
      </c>
      <c r="Q60" s="12">
        <f>(Q56*Q55*10)</f>
        <v>79.259119048589781</v>
      </c>
      <c r="R60" s="16"/>
      <c r="S60" s="7"/>
      <c r="T60" s="8">
        <f>(T59+T58)</f>
        <v>-76.78090241629053</v>
      </c>
      <c r="U60" s="4"/>
      <c r="V60" s="4">
        <f>((Y60+X60*-1)+X64)*10-T53+AH60*-1-V56*111</f>
        <v>10.283141213031492</v>
      </c>
      <c r="W60" s="4"/>
      <c r="X60" s="4">
        <f>(X64+AH60+Y60)</f>
        <v>-7.9464979639218392E-2</v>
      </c>
      <c r="Y60" s="11">
        <f>(AH60*X64)</f>
        <v>5.8532420249183419</v>
      </c>
      <c r="Z60" s="11"/>
      <c r="AA60" s="21">
        <f>(AI61+AA61)/2</f>
        <v>679.38198773736951</v>
      </c>
      <c r="AB60" s="11"/>
      <c r="AC60" s="11"/>
      <c r="AD60" s="11"/>
      <c r="AE60" s="11"/>
      <c r="AF60" s="11"/>
      <c r="AG60" s="11">
        <f>(T56-T52)-(T52-U57)</f>
        <v>15.831286396507267</v>
      </c>
      <c r="AH60" s="2">
        <f>(AI60+T53+V56*10)</f>
        <v>-1.2499587121552369</v>
      </c>
      <c r="AI60" s="11">
        <f>X64</f>
        <v>-4.6827482924023229</v>
      </c>
      <c r="AJ60" s="12">
        <f>(AJ56*AJ55*10)</f>
        <v>74.694040887663718</v>
      </c>
      <c r="AK60" s="16"/>
      <c r="AL60" s="7"/>
    </row>
    <row r="61" spans="1:38" x14ac:dyDescent="0.25">
      <c r="A61" s="8">
        <f>(A52+A60)</f>
        <v>148.0237205106728</v>
      </c>
      <c r="B61" s="4">
        <f>(A52+A61)/2</f>
        <v>186.38568487288654</v>
      </c>
      <c r="C61" s="4">
        <f>(E57-A52)-(A52-B61)</f>
        <v>-39.236286157730973</v>
      </c>
      <c r="D61" s="8">
        <f>(B57+C57)/2</f>
        <v>217.9851796499097</v>
      </c>
      <c r="E61" s="8">
        <f>(A56+A62)</f>
        <v>450.3696202657178</v>
      </c>
      <c r="F61" s="21">
        <f>(G58*2)-G65</f>
        <v>3147.9203355212476</v>
      </c>
      <c r="G61" s="21">
        <f>(A53*F61)</f>
        <v>11009.181439592856</v>
      </c>
      <c r="H61" s="21">
        <f>(N63+P61)/2</f>
        <v>453.18347702612937</v>
      </c>
      <c r="I61" s="21"/>
      <c r="J61" s="21"/>
      <c r="K61" s="21"/>
      <c r="L61" s="21"/>
      <c r="M61" s="21"/>
      <c r="N61" s="21">
        <f>(O61+O62)/2</f>
        <v>918.9859829975278</v>
      </c>
      <c r="O61" s="2">
        <f>(A55+C57)/2*Q66/Q58</f>
        <v>869.7527292264283</v>
      </c>
      <c r="P61" s="2">
        <f>B54*Q66/Q58</f>
        <v>905.37596291490684</v>
      </c>
      <c r="Q61" s="5">
        <f>(A57+B54)/2</f>
        <v>213.84567545127095</v>
      </c>
      <c r="R61" s="16"/>
      <c r="S61" s="7"/>
      <c r="T61" s="8">
        <f>(T52+T60)</f>
        <v>147.92333829167592</v>
      </c>
      <c r="U61" s="4">
        <f>(T52+T61)/2</f>
        <v>186.31378949982118</v>
      </c>
      <c r="V61" s="4">
        <f>(X57-T52)-(T52-U61)</f>
        <v>-39.247816547750887</v>
      </c>
      <c r="W61" s="8">
        <f>(U57+V57)/2</f>
        <v>217.97636229283569</v>
      </c>
      <c r="X61" s="8">
        <f>(T56+T62)</f>
        <v>450.26584675553852</v>
      </c>
      <c r="Y61" s="21">
        <f>(Z58*2)-Z65</f>
        <v>3004.6074230738755</v>
      </c>
      <c r="Z61" s="21">
        <f>(T53*Y61)</f>
        <v>10304.185054661048</v>
      </c>
      <c r="AA61" s="21">
        <f>(AG63+AI61)/2</f>
        <v>453.25167102463678</v>
      </c>
      <c r="AB61" s="21"/>
      <c r="AC61" s="21"/>
      <c r="AD61" s="21"/>
      <c r="AE61" s="21"/>
      <c r="AF61" s="21"/>
      <c r="AG61" s="21">
        <f>(AH61+AH62)/2</f>
        <v>919.10601818590942</v>
      </c>
      <c r="AH61" s="2">
        <f>(T55+V57)/2*AJ66/AJ58</f>
        <v>869.88700899538367</v>
      </c>
      <c r="AI61" s="2">
        <f>U54*AJ66/AJ58</f>
        <v>905.51230445010219</v>
      </c>
      <c r="AJ61" s="5">
        <f>(T57+U54)/2</f>
        <v>213.82057989652174</v>
      </c>
      <c r="AK61" s="16"/>
      <c r="AL61" s="7"/>
    </row>
    <row r="62" spans="1:38" x14ac:dyDescent="0.25">
      <c r="A62" s="8">
        <f>((A57+A56+A55+A54)/4-A57-A52)*-1</f>
        <v>205.5666670539934</v>
      </c>
      <c r="B62" s="4">
        <f>(B57+C57)/2</f>
        <v>217.9851796499097</v>
      </c>
      <c r="C62" s="4">
        <f>(E64+A53)</f>
        <v>-1.2534564985390091</v>
      </c>
      <c r="D62" s="8">
        <f>(A64+D63+A56+D63)/2</f>
        <v>379.99619314621259</v>
      </c>
      <c r="E62" s="8">
        <f>(A57+D63+A56)/3</f>
        <v>201.50842064414451</v>
      </c>
      <c r="F62" s="21">
        <f>(O62+P61)/2</f>
        <v>936.79759984176712</v>
      </c>
      <c r="G62" s="5"/>
      <c r="H62" s="21">
        <f>(O62+P61+N61)/3</f>
        <v>930.86039422702072</v>
      </c>
      <c r="I62" s="21"/>
      <c r="J62" s="21"/>
      <c r="K62" s="21"/>
      <c r="L62" s="21"/>
      <c r="M62" s="21"/>
      <c r="N62" s="21">
        <f>((A62+A56)/2)*Q66/Q58</f>
        <v>914.25032913940709</v>
      </c>
      <c r="O62" s="2">
        <f>((A63+A54)/2)*Q66/Q58</f>
        <v>968.21923676862741</v>
      </c>
      <c r="P62" s="2">
        <f>B53*Q66/Q58</f>
        <v>885.01982937863329</v>
      </c>
      <c r="Q62" s="12">
        <f>A53+E64</f>
        <v>-1.2534564985390091</v>
      </c>
      <c r="R62" s="16"/>
      <c r="S62" s="7"/>
      <c r="T62" s="8">
        <f>((T57+T56+T55+T54)/4-T57-T52)*-1</f>
        <v>205.50901510389383</v>
      </c>
      <c r="U62" s="4">
        <f>(U57+V57)/2</f>
        <v>217.97636229283569</v>
      </c>
      <c r="V62" s="4">
        <f>(X64+T53)</f>
        <v>-1.2532869339798935</v>
      </c>
      <c r="W62" s="8">
        <f>(T64+W63+T56+W63)/2</f>
        <v>379.89428484618367</v>
      </c>
      <c r="X62" s="8">
        <f>(T57+W63+T56)/3</f>
        <v>201.46139473974958</v>
      </c>
      <c r="Y62" s="21">
        <f>(AH62+AI61)/2</f>
        <v>936.91866591326868</v>
      </c>
      <c r="Z62" s="5"/>
      <c r="AA62" s="21">
        <f>(AH62+AI61+AG61)/3</f>
        <v>930.9811166708156</v>
      </c>
      <c r="AB62" s="21"/>
      <c r="AC62" s="21"/>
      <c r="AD62" s="21"/>
      <c r="AE62" s="21"/>
      <c r="AF62" s="21"/>
      <c r="AG62" s="21">
        <f>((T62+T56)/2)*AJ66/AJ58</f>
        <v>914.21624375560816</v>
      </c>
      <c r="AH62" s="2">
        <f>((T63+T54)/2)*AJ66/AJ58</f>
        <v>968.32502737643517</v>
      </c>
      <c r="AI62" s="2">
        <f>U53*AJ66/AJ58</f>
        <v>885.15499276169169</v>
      </c>
      <c r="AJ62" s="12">
        <f>T53+X64</f>
        <v>-1.2532869339798935</v>
      </c>
      <c r="AK62" s="16"/>
      <c r="AL62" s="7"/>
    </row>
    <row r="63" spans="1:38" x14ac:dyDescent="0.25">
      <c r="A63" s="8">
        <f>((A57+A56+A55+A54)/4-A57-A52*-1)</f>
        <v>243.92863141620711</v>
      </c>
      <c r="B63" s="4">
        <f>B54/2</f>
        <v>111.49950282203287</v>
      </c>
      <c r="C63" s="4">
        <f>(B53+C57)/2</f>
        <v>216.73172315137069</v>
      </c>
      <c r="D63" s="8">
        <f>(A62+A61+B63)/3</f>
        <v>155.02996346223304</v>
      </c>
      <c r="E63" s="8">
        <f>(A57+A56+B63)/3</f>
        <v>186.99826709741114</v>
      </c>
      <c r="F63" s="5">
        <f>E60+(C67*-1)-E60-E64</f>
        <v>1.9712729021469073</v>
      </c>
      <c r="G63" s="5"/>
      <c r="H63" s="21">
        <f>(P63+N63)/2</f>
        <v>318.198537886846</v>
      </c>
      <c r="I63" s="5"/>
      <c r="J63" s="5"/>
      <c r="K63" s="5"/>
      <c r="L63" s="5"/>
      <c r="M63" s="5"/>
      <c r="N63" s="21">
        <f>((N62+N61)/2/Q57)</f>
        <v>0.99099113735189526</v>
      </c>
      <c r="O63" s="2">
        <f>((A55+D61)/2)*Q66/Q58</f>
        <v>874.84176261049652</v>
      </c>
      <c r="P63" s="2">
        <f>((B63+E62)/2)*Q66/Q58</f>
        <v>635.4060846363401</v>
      </c>
      <c r="Q63" s="12">
        <f>(Q62*Q60/10)</f>
        <v>-9.9347857839931812</v>
      </c>
      <c r="R63" s="16"/>
      <c r="S63" s="7"/>
      <c r="T63" s="8">
        <f>((T57+T56+T55+T54)/4-T57-T52*-1)</f>
        <v>243.89946631203907</v>
      </c>
      <c r="U63" s="4">
        <f>U54/2</f>
        <v>111.49475501437762</v>
      </c>
      <c r="V63" s="4">
        <f>(U53+V57)/2</f>
        <v>216.72307535885579</v>
      </c>
      <c r="W63" s="8">
        <f>(T62+T61+U63)/3</f>
        <v>154.97570280331578</v>
      </c>
      <c r="X63" s="8">
        <f>(T57+T56+U63)/3</f>
        <v>186.96774547677015</v>
      </c>
      <c r="Y63" s="5">
        <f>X60+(V67*-1)-X60-X64</f>
        <v>1.9658895054338146</v>
      </c>
      <c r="Z63" s="5"/>
      <c r="AA63" s="21">
        <f>(AI63+AG63)/2</f>
        <v>318.20737475095694</v>
      </c>
      <c r="AB63" s="5"/>
      <c r="AC63" s="5"/>
      <c r="AD63" s="5"/>
      <c r="AE63" s="5"/>
      <c r="AF63" s="5"/>
      <c r="AG63" s="21">
        <f>((AG62+AG61)/2/AJ57)</f>
        <v>0.99103759917137513</v>
      </c>
      <c r="AH63" s="2">
        <f>((T55+W61)/2)*AJ66/AJ58</f>
        <v>874.97633691748638</v>
      </c>
      <c r="AI63" s="2">
        <f>((U63+X62)/2)*AJ66/AJ58</f>
        <v>635.42371190274253</v>
      </c>
      <c r="AJ63" s="12">
        <f>(AJ62*AJ60/10)</f>
        <v>-9.361306549066887</v>
      </c>
      <c r="AK63" s="16"/>
      <c r="AL63" s="7"/>
    </row>
    <row r="64" spans="1:38" x14ac:dyDescent="0.25">
      <c r="A64" s="8">
        <f>(A57+A62)/2</f>
        <v>205.12950615623475</v>
      </c>
      <c r="B64" s="4">
        <f>(A54+B56)/2</f>
        <v>230.51974463529979</v>
      </c>
      <c r="C64" s="4">
        <f>(A53*C56)</f>
        <v>1.1109833824590476E-3</v>
      </c>
      <c r="D64" s="4">
        <f>(A54+B64)/2</f>
        <v>231.7732011338388</v>
      </c>
      <c r="E64" s="4">
        <f>(D64-A52)-(A52-A55)</f>
        <v>-4.750743680608025</v>
      </c>
      <c r="F64" s="21">
        <f>(N64+H64)/2</f>
        <v>950.0816947884789</v>
      </c>
      <c r="G64" s="5"/>
      <c r="H64" s="31">
        <f>A63*Q66/Q58</f>
        <v>990.35024354980078</v>
      </c>
      <c r="I64" s="5"/>
      <c r="J64" s="5"/>
      <c r="K64" s="5"/>
      <c r="L64" s="5"/>
      <c r="M64" s="5"/>
      <c r="N64" s="21">
        <f>(N62+P61)/2</f>
        <v>909.81314602715702</v>
      </c>
      <c r="O64" s="2">
        <f>((E61+A61)/2)*Q66/Q58</f>
        <v>1214.7384817760728</v>
      </c>
      <c r="P64" s="2">
        <f>((E62+E64/10)/2)*Q66/Q58</f>
        <v>408.09769294044992</v>
      </c>
      <c r="Q64" s="8">
        <f>(Q63+C67)</f>
        <v>-7.1553150055320636</v>
      </c>
      <c r="R64" s="16"/>
      <c r="S64" s="7"/>
      <c r="T64" s="8">
        <f>(T57+T62)/2</f>
        <v>205.08033243409102</v>
      </c>
      <c r="U64" s="4">
        <f>(T54+U56)/2</f>
        <v>230.50923163263457</v>
      </c>
      <c r="V64" s="4">
        <f>(T53*V56)</f>
        <v>1.1414008139918345E-3</v>
      </c>
      <c r="W64" s="4">
        <f>(T54+U64)/2</f>
        <v>231.76251856661446</v>
      </c>
      <c r="X64" s="4">
        <f>(W64-T52)-(T52-T55)</f>
        <v>-4.6827482924023229</v>
      </c>
      <c r="Y64" s="21">
        <f>(AG64+AA64)/2</f>
        <v>950.14370051440108</v>
      </c>
      <c r="Z64" s="5"/>
      <c r="AA64" s="31">
        <f>T63*AJ66/AJ58</f>
        <v>990.42312692594692</v>
      </c>
      <c r="AB64" s="5"/>
      <c r="AC64" s="5"/>
      <c r="AD64" s="5"/>
      <c r="AE64" s="5"/>
      <c r="AF64" s="5"/>
      <c r="AG64" s="21">
        <f>(AG62+AI61)/2</f>
        <v>909.86427410285523</v>
      </c>
      <c r="AH64" s="2">
        <f>((X61+T61)/2)*AJ66/AJ58</f>
        <v>1214.5586296399815</v>
      </c>
      <c r="AI64" s="2">
        <f>((X62+X64/10)/2)*AJ66/AJ58</f>
        <v>408.09485424967141</v>
      </c>
      <c r="AJ64" s="8">
        <f>(AJ63+V67)</f>
        <v>-6.6444477620983786</v>
      </c>
      <c r="AK64" s="16"/>
      <c r="AL64" s="7"/>
    </row>
    <row r="65" spans="1:38" x14ac:dyDescent="0.25">
      <c r="A65" s="8">
        <f>(A53*-1)+A60</f>
        <v>-80.221215906496468</v>
      </c>
      <c r="B65" s="8">
        <f>(A66*-1)+A65</f>
        <v>-6.9945743641380318</v>
      </c>
      <c r="C65" s="8">
        <f>(B65/2)+A53</f>
        <v>0</v>
      </c>
      <c r="D65" s="4"/>
      <c r="E65" s="8">
        <f>(C65*A53)+D58</f>
        <v>7.7652347840217431</v>
      </c>
      <c r="F65" s="21">
        <f>A61*Q66/Q66</f>
        <v>148.0237205106728</v>
      </c>
      <c r="G65" s="21">
        <f>(E65+F65)</f>
        <v>155.78895529469455</v>
      </c>
      <c r="H65" s="5">
        <f>(O66+H63)/2</f>
        <v>1073.3495980828302</v>
      </c>
      <c r="I65" s="5"/>
      <c r="J65" s="5"/>
      <c r="K65" s="5"/>
      <c r="L65" s="5"/>
      <c r="M65" s="5"/>
      <c r="N65" s="21">
        <f>(O62+H62+O62)/3</f>
        <v>955.76628925475859</v>
      </c>
      <c r="O65" s="2">
        <f>((B56+E64)/2)*Q66/Q58</f>
        <v>453.22203855395588</v>
      </c>
      <c r="P65" s="2">
        <f>D61*Q66/Q58</f>
        <v>885.01982937863329</v>
      </c>
      <c r="Q65" s="44">
        <f>((Q64*Q63*C67*-1)*Q66*Q55*Q56)*0.326</f>
        <v>-1865.4549334060421</v>
      </c>
      <c r="R65" s="16"/>
      <c r="S65" s="7"/>
      <c r="T65" s="8">
        <f>(T53*-1)+T60</f>
        <v>-80.21036377471296</v>
      </c>
      <c r="U65" s="8">
        <f>(T66*-1)+T65</f>
        <v>-6.8589227168448588</v>
      </c>
      <c r="V65" s="8">
        <f>(U65/2)+T53</f>
        <v>0</v>
      </c>
      <c r="W65" s="4"/>
      <c r="X65" s="8">
        <f>(V65*T53)+W58</f>
        <v>7.730507962314686</v>
      </c>
      <c r="Y65" s="21">
        <f>T61*AJ66/AJ66</f>
        <v>147.92333829167592</v>
      </c>
      <c r="Z65" s="21">
        <f>(X65+Y65)</f>
        <v>155.65384625399059</v>
      </c>
      <c r="AA65" s="5">
        <f>(AH66+AA63)/2</f>
        <v>1073.3199311310866</v>
      </c>
      <c r="AB65" s="5"/>
      <c r="AC65" s="5"/>
      <c r="AD65" s="5"/>
      <c r="AE65" s="5"/>
      <c r="AF65" s="5"/>
      <c r="AG65" s="21">
        <f>(AH62+AA62+AH62)/3</f>
        <v>955.87705714122865</v>
      </c>
      <c r="AH65" s="2">
        <f>((U56+X64)/2)*AJ66/AJ58</f>
        <v>453.42699266380026</v>
      </c>
      <c r="AI65" s="2">
        <f>W61*AJ66/AJ58</f>
        <v>885.15499276169169</v>
      </c>
      <c r="AJ65" s="44">
        <f>((AJ64*AJ63*V67*-1)*AJ66*AJ55*AJ56)*0.326</f>
        <v>-852.20892534000075</v>
      </c>
      <c r="AK65" s="16"/>
      <c r="AL65" s="7"/>
    </row>
    <row r="66" spans="1:38" x14ac:dyDescent="0.25">
      <c r="A66" s="8">
        <f>A53+A60</f>
        <v>-73.226641542358436</v>
      </c>
      <c r="B66" s="8">
        <f>(A67+(A65*-1)+A66)</f>
        <v>-146.45328308471687</v>
      </c>
      <c r="C66" s="4">
        <f>(B66/10)</f>
        <v>-14.645328308471687</v>
      </c>
      <c r="D66" s="4"/>
      <c r="E66" s="4">
        <f>((D62+B63)/2)*Q66</f>
        <v>897.96263653398444</v>
      </c>
      <c r="F66" s="5">
        <f>((E61+B63)/2)*Q66/Q58</f>
        <v>1140.5943198681341</v>
      </c>
      <c r="G66" s="5"/>
      <c r="H66" s="5">
        <f>(Q67/2)</f>
        <v>410.61395515252815</v>
      </c>
      <c r="I66" s="5"/>
      <c r="J66" s="5"/>
      <c r="K66" s="5"/>
      <c r="L66" s="5"/>
      <c r="M66" s="5"/>
      <c r="N66" s="21">
        <f>(Q67/2)/Q58</f>
        <v>456.23772794725346</v>
      </c>
      <c r="O66" s="2">
        <f>E61*Q66/Q58</f>
        <v>1828.5006582788142</v>
      </c>
      <c r="P66" s="2">
        <f>((B53+A56)/2)*Q66/Q58</f>
        <v>939.45990970911703</v>
      </c>
      <c r="Q66" s="33">
        <f>ROUND(O59,N67)</f>
        <v>3.6539999999999999</v>
      </c>
      <c r="R66" s="16"/>
      <c r="S66" s="7"/>
      <c r="T66" s="8">
        <f>T53+T60</f>
        <v>-73.351441057868101</v>
      </c>
      <c r="U66" s="8">
        <f>(T67+(T65*-1)+T66)</f>
        <v>-146.7028821157362</v>
      </c>
      <c r="V66" s="4">
        <f>(U66/10)</f>
        <v>-14.67028821157362</v>
      </c>
      <c r="W66" s="4"/>
      <c r="X66" s="4">
        <f>((W62+U63)/2)*AJ66</f>
        <v>508.83335077561128</v>
      </c>
      <c r="Y66" s="5">
        <f>((X61+U63)/2)*AJ66/AJ58</f>
        <v>1140.5943198681337</v>
      </c>
      <c r="Z66" s="5"/>
      <c r="AA66" s="5">
        <f>(AJ67/2)</f>
        <v>232.68124125309927</v>
      </c>
      <c r="AB66" s="5"/>
      <c r="AC66" s="5"/>
      <c r="AD66" s="5"/>
      <c r="AE66" s="5"/>
      <c r="AF66" s="5"/>
      <c r="AG66" s="21">
        <f>(AJ67/2)/AJ58</f>
        <v>456.23772794725346</v>
      </c>
      <c r="AH66" s="2">
        <f>X61*AJ66/AJ58</f>
        <v>1828.4324875112163</v>
      </c>
      <c r="AI66" s="2">
        <f>((U53+T56)/2)*AJ66/AJ58</f>
        <v>939.52984770492048</v>
      </c>
      <c r="AJ66" s="33">
        <f>ROUND(AH59,AG67)</f>
        <v>2.0710000000000002</v>
      </c>
      <c r="AK66" s="16"/>
      <c r="AL66" s="7"/>
    </row>
    <row r="67" spans="1:38" x14ac:dyDescent="0.25">
      <c r="A67" s="21">
        <f>(A65+A66)</f>
        <v>-153.4478574488549</v>
      </c>
      <c r="B67" s="5"/>
      <c r="C67" s="12">
        <f>INT(C60)-C60+N67</f>
        <v>2.7794707784611177</v>
      </c>
      <c r="D67" s="5"/>
      <c r="E67" s="21" t="s">
        <v>3</v>
      </c>
      <c r="F67" s="5">
        <f>((O67+B63+E61)/3)*Q66/Q58</f>
        <v>2188.7080337572556</v>
      </c>
      <c r="G67" s="5"/>
      <c r="H67" s="5">
        <f>ROUND(H66,2)</f>
        <v>410.61</v>
      </c>
      <c r="I67" s="5"/>
      <c r="J67" s="5"/>
      <c r="K67" s="5"/>
      <c r="L67" s="5"/>
      <c r="M67" s="5"/>
      <c r="N67" s="5">
        <v>3</v>
      </c>
      <c r="O67" s="2">
        <f>((B53+B63+E61)/3)*Q66/Q58</f>
        <v>1055.4028230383003</v>
      </c>
      <c r="P67" s="21">
        <f>(Q67/Q66)</f>
        <v>224.74764923510025</v>
      </c>
      <c r="Q67" s="2">
        <f>P53*Q58</f>
        <v>821.2279103050563</v>
      </c>
      <c r="R67" s="16"/>
      <c r="S67" s="7"/>
      <c r="T67" s="21">
        <f>(T65+T66)</f>
        <v>-153.56180483258106</v>
      </c>
      <c r="U67" s="5"/>
      <c r="V67" s="12">
        <f>INT(V60)-V60+AG67</f>
        <v>2.7168587869685084</v>
      </c>
      <c r="W67" s="5"/>
      <c r="X67" s="21" t="s">
        <v>3</v>
      </c>
      <c r="Y67" s="5">
        <f>((AH67+U63+X61)/3)*AJ66/AJ58</f>
        <v>2189.0449415467897</v>
      </c>
      <c r="Z67" s="5"/>
      <c r="AA67" s="5">
        <f>ROUND(AA66,2)</f>
        <v>232.68</v>
      </c>
      <c r="AB67" s="5"/>
      <c r="AC67" s="5"/>
      <c r="AD67" s="5"/>
      <c r="AE67" s="5"/>
      <c r="AF67" s="5"/>
      <c r="AG67" s="5">
        <v>3</v>
      </c>
      <c r="AH67" s="2">
        <f>((U53+U63+X61)/3)*AJ66/AJ58</f>
        <v>1055.4478774993199</v>
      </c>
      <c r="AI67" s="21">
        <f>(AJ67/AJ66)</f>
        <v>224.70424070796645</v>
      </c>
      <c r="AJ67" s="2">
        <f>AI53*AJ58</f>
        <v>465.36248250619855</v>
      </c>
      <c r="AK67" s="16"/>
      <c r="AL67" s="7"/>
    </row>
    <row r="68" spans="1:38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 t="s">
        <v>4</v>
      </c>
      <c r="Q68" s="16"/>
      <c r="R68" s="16"/>
      <c r="S68" s="7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 t="s">
        <v>4</v>
      </c>
      <c r="AJ68" s="16"/>
      <c r="AK68" s="16"/>
      <c r="AL68" s="7"/>
    </row>
    <row r="69" spans="1:38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7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7"/>
    </row>
    <row r="70" spans="1:38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7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7"/>
    </row>
    <row r="71" spans="1:38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7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7"/>
    </row>
    <row r="72" spans="1:38" x14ac:dyDescent="0.25">
      <c r="A72" s="2">
        <f>P87</f>
        <v>231.28661662277636</v>
      </c>
      <c r="B72" s="3">
        <f>(A72*10^0.125)</f>
        <v>308.42566023901441</v>
      </c>
      <c r="C72" s="4">
        <f>INT(B72)</f>
        <v>308</v>
      </c>
      <c r="D72" s="4">
        <f>C72*4</f>
        <v>1232</v>
      </c>
      <c r="E72" s="4">
        <f>D72/5</f>
        <v>246.4</v>
      </c>
      <c r="F72" s="5">
        <f>E72^2</f>
        <v>60712.960000000006</v>
      </c>
      <c r="G72" s="5">
        <f>(F72^0.125)</f>
        <v>3.9619608145814453</v>
      </c>
      <c r="H72" s="5">
        <f>G72/3</f>
        <v>1.3206536048604818</v>
      </c>
      <c r="I72" s="5">
        <f>(H72*100)</f>
        <v>132.06536048604818</v>
      </c>
      <c r="J72" s="5">
        <f>(F72/100)</f>
        <v>607.1296000000001</v>
      </c>
      <c r="K72" s="5">
        <f>(J72+I72)/2</f>
        <v>369.59748024302417</v>
      </c>
      <c r="L72" s="5">
        <f>(K72+I72)/2</f>
        <v>250.83142036453617</v>
      </c>
      <c r="M72" s="5">
        <f>(L72+A72)/2</f>
        <v>241.05901849365625</v>
      </c>
      <c r="N72" s="5">
        <f>M72*100^0.5</f>
        <v>2410.5901849365628</v>
      </c>
      <c r="O72" s="5">
        <f>INT(N72)/10</f>
        <v>241</v>
      </c>
      <c r="P72" s="5">
        <f>(O72)^2/10000</f>
        <v>5.8080999999999996</v>
      </c>
      <c r="Q72" s="5">
        <f>(P72+I72+M72)/3</f>
        <v>126.31082632656815</v>
      </c>
      <c r="R72" s="6">
        <f>Q77^0.5</f>
        <v>30.413005635566734</v>
      </c>
      <c r="S72" s="7"/>
      <c r="T72" s="2">
        <f>AI87</f>
        <v>236.7697918897756</v>
      </c>
      <c r="U72" s="3">
        <f>(T72*10^0.125)</f>
        <v>315.73759197386573</v>
      </c>
      <c r="V72" s="4">
        <f>INT(U72)</f>
        <v>315</v>
      </c>
      <c r="W72" s="4">
        <f>V72*4</f>
        <v>1260</v>
      </c>
      <c r="X72" s="4">
        <f>W72/5</f>
        <v>252</v>
      </c>
      <c r="Y72" s="5">
        <f>X72^2</f>
        <v>63504</v>
      </c>
      <c r="Z72" s="5">
        <f>(Y72^0.125)</f>
        <v>3.9842826037302554</v>
      </c>
      <c r="AA72" s="5">
        <f>Z72/3</f>
        <v>1.3280942012434185</v>
      </c>
      <c r="AB72" s="5">
        <f>(AA72*100)</f>
        <v>132.80942012434184</v>
      </c>
      <c r="AC72" s="5">
        <f>(Y72/100)</f>
        <v>635.04</v>
      </c>
      <c r="AD72" s="5">
        <f>(AC72+AB72)/2</f>
        <v>383.9247100621709</v>
      </c>
      <c r="AE72" s="5">
        <f>(AD72+AB72)/2</f>
        <v>258.36706509325637</v>
      </c>
      <c r="AF72" s="5">
        <f>(AE72+T72)/2</f>
        <v>247.56842849151599</v>
      </c>
      <c r="AG72" s="5">
        <f>AF72*100^0.5</f>
        <v>2475.6842849151599</v>
      </c>
      <c r="AH72" s="5">
        <f>INT(AG72)/10</f>
        <v>247.5</v>
      </c>
      <c r="AI72" s="5">
        <f>(AH72)^2/10000</f>
        <v>6.1256250000000003</v>
      </c>
      <c r="AJ72" s="5">
        <f>(AI72+AB72+AF72)/3</f>
        <v>128.83449120528596</v>
      </c>
      <c r="AK72" s="6">
        <f>AJ77^0.5</f>
        <v>30.413005635566734</v>
      </c>
      <c r="AL72" s="7"/>
    </row>
    <row r="73" spans="1:38" x14ac:dyDescent="0.25">
      <c r="A73" s="8">
        <f>(O74-O73)</f>
        <v>1.947151942091466</v>
      </c>
      <c r="B73" s="3">
        <f>(B74+A75)/2</f>
        <v>224.95480635418187</v>
      </c>
      <c r="C73" s="9">
        <f>(D75*C75*B75*C74*D74*A73)</f>
        <v>28251048092.142464</v>
      </c>
      <c r="D73" s="4">
        <f>(C74*C73*A73)</f>
        <v>59719415.571810298</v>
      </c>
      <c r="E73" s="8">
        <f>INT(A73+1)</f>
        <v>2</v>
      </c>
      <c r="F73" s="10">
        <f>(Q85*-1)</f>
        <v>-4.9967345748308212</v>
      </c>
      <c r="G73" s="11"/>
      <c r="H73" s="2">
        <f>IF(F73&gt;0,-1,1)</f>
        <v>1</v>
      </c>
      <c r="I73" s="11"/>
      <c r="J73" s="11"/>
      <c r="K73" s="11"/>
      <c r="L73" s="11"/>
      <c r="M73" s="11"/>
      <c r="N73" s="11">
        <f>(M72+O72)/2</f>
        <v>241.02950924682813</v>
      </c>
      <c r="O73" s="11">
        <f>N73-A72</f>
        <v>9.7428926240517626</v>
      </c>
      <c r="P73" s="11">
        <f>(Q77+R75)/2</f>
        <v>922.308593894507</v>
      </c>
      <c r="Q73" s="12">
        <f>(Q76*A73*100)</f>
        <v>253.61620869627313</v>
      </c>
      <c r="R73" s="6">
        <f>INT(R72)+0.326</f>
        <v>30.326000000000001</v>
      </c>
      <c r="S73" s="7"/>
      <c r="T73" s="8">
        <f>(AH74-AH73)</f>
        <v>1.0267288183892447</v>
      </c>
      <c r="U73" s="3">
        <f>(U74+T75)/2</f>
        <v>230.61753409799246</v>
      </c>
      <c r="V73" s="9">
        <f>(W75*V75*U75*V74*W74*T73)</f>
        <v>34268262.423921205</v>
      </c>
      <c r="W73" s="4">
        <f>(V74*V73*T73)</f>
        <v>161433.38898961837</v>
      </c>
      <c r="X73" s="8">
        <f>INT(T73+1)</f>
        <v>2</v>
      </c>
      <c r="Y73" s="10">
        <f>(AJ85*-1)</f>
        <v>-0.1891251286965456</v>
      </c>
      <c r="Z73" s="11"/>
      <c r="AA73" s="2">
        <f>IF(Y73&gt;0,-1,1)</f>
        <v>1</v>
      </c>
      <c r="AB73" s="11"/>
      <c r="AC73" s="11"/>
      <c r="AD73" s="11"/>
      <c r="AE73" s="11"/>
      <c r="AF73" s="11"/>
      <c r="AG73" s="11">
        <f>(AF72+AH72)/2</f>
        <v>247.53421424575799</v>
      </c>
      <c r="AH73" s="11">
        <f>AG73-T72</f>
        <v>10.76442235598239</v>
      </c>
      <c r="AI73" s="11">
        <f>(AJ77+AK75)/2</f>
        <v>922.308593894507</v>
      </c>
      <c r="AJ73" s="12">
        <f>(AJ76*T73*100)</f>
        <v>49.532235461567659</v>
      </c>
      <c r="AK73" s="6">
        <f>INT(AK72)+0.326</f>
        <v>30.326000000000001</v>
      </c>
      <c r="AL73" s="7"/>
    </row>
    <row r="74" spans="1:38" x14ac:dyDescent="0.25">
      <c r="A74" s="8">
        <f>N73</f>
        <v>241.02950924682813</v>
      </c>
      <c r="B74" s="13">
        <f>(N73+N75)/2</f>
        <v>230.31304065173063</v>
      </c>
      <c r="C74" s="4">
        <f>(A73/D75)</f>
        <v>1.0856282661444025E-3</v>
      </c>
      <c r="D74" s="4">
        <f>(A73+B75+C75+D75)</f>
        <v>4510.2158078099064</v>
      </c>
      <c r="E74" s="14">
        <f>(E73*C75)</f>
        <v>1842.2512220531796</v>
      </c>
      <c r="F74" s="15"/>
      <c r="G74" s="11"/>
      <c r="H74" s="11"/>
      <c r="I74" s="11"/>
      <c r="J74" s="11"/>
      <c r="K74" s="11"/>
      <c r="L74" s="11"/>
      <c r="M74" s="11">
        <f>(N73+N75)/2</f>
        <v>230.31304065173063</v>
      </c>
      <c r="N74" s="11">
        <f>(I72+N73)/2</f>
        <v>186.54743486643815</v>
      </c>
      <c r="O74" s="11">
        <f>A72-N75</f>
        <v>11.690044566143229</v>
      </c>
      <c r="P74" s="11"/>
      <c r="Q74" s="5"/>
      <c r="R74" s="16"/>
      <c r="S74" s="7"/>
      <c r="T74" s="8">
        <f>AG73</f>
        <v>247.53421424575799</v>
      </c>
      <c r="U74" s="13">
        <f>(AG73+AG75)/2</f>
        <v>236.25642748058098</v>
      </c>
      <c r="V74" s="4">
        <f>(T73/W75)</f>
        <v>4.5882336741662044E-3</v>
      </c>
      <c r="W74" s="4">
        <f>(T73+U75+V75+W75)</f>
        <v>666.52414102971875</v>
      </c>
      <c r="X74" s="14">
        <f>(X73*V75)</f>
        <v>435.89758979820255</v>
      </c>
      <c r="Y74" s="15"/>
      <c r="Z74" s="11"/>
      <c r="AA74" s="11"/>
      <c r="AB74" s="11"/>
      <c r="AC74" s="11"/>
      <c r="AD74" s="11"/>
      <c r="AE74" s="11"/>
      <c r="AF74" s="11">
        <f>(AG73+AG75)/2</f>
        <v>236.25642748058098</v>
      </c>
      <c r="AG74" s="11">
        <f>(AB72+AG73)/2</f>
        <v>190.17181718504992</v>
      </c>
      <c r="AH74" s="11">
        <f>T72-AG75</f>
        <v>11.791151174371635</v>
      </c>
      <c r="AI74" s="11"/>
      <c r="AJ74" s="5"/>
      <c r="AK74" s="16"/>
      <c r="AL74" s="7"/>
    </row>
    <row r="75" spans="1:38" x14ac:dyDescent="0.25">
      <c r="A75" s="17">
        <f>N75</f>
        <v>219.59657205663314</v>
      </c>
      <c r="B75" s="3">
        <f>G81</f>
        <v>1793.5715224206126</v>
      </c>
      <c r="C75" s="4">
        <f>(B75/A73)</f>
        <v>921.12561102658981</v>
      </c>
      <c r="D75" s="4">
        <f>(A73*C75)</f>
        <v>1793.5715224206126</v>
      </c>
      <c r="E75" s="8">
        <f>INT(A73)+1</f>
        <v>2</v>
      </c>
      <c r="F75" s="15">
        <f>(Q85)</f>
        <v>4.9967345748308212</v>
      </c>
      <c r="G75" s="11"/>
      <c r="H75" s="2">
        <f>IF(F73&lt;0,1,-1)</f>
        <v>1</v>
      </c>
      <c r="I75" s="11"/>
      <c r="J75" s="11"/>
      <c r="K75" s="11"/>
      <c r="L75" s="11"/>
      <c r="M75" s="11">
        <f>(N74+P72*2)</f>
        <v>198.16363486643814</v>
      </c>
      <c r="N75" s="11">
        <f>(N73+M75)/2</f>
        <v>219.59657205663314</v>
      </c>
      <c r="O75" s="11">
        <f>(N74+J72)/2</f>
        <v>396.83851743321912</v>
      </c>
      <c r="P75" s="2">
        <f>IF(Q85&gt;1,-1,1)</f>
        <v>-1</v>
      </c>
      <c r="Q75" s="12">
        <f>F83-F80</f>
        <v>-1.5322807496559818</v>
      </c>
      <c r="R75" s="6">
        <f>R73^2</f>
        <v>919.66627600000004</v>
      </c>
      <c r="S75" s="7"/>
      <c r="T75" s="17">
        <f>AG75</f>
        <v>224.97864071540397</v>
      </c>
      <c r="U75" s="3">
        <f>Z81</f>
        <v>223.7743086561141</v>
      </c>
      <c r="V75" s="4">
        <f>(U75/T73)</f>
        <v>217.94879489910127</v>
      </c>
      <c r="W75" s="4">
        <f>(T73*V75)</f>
        <v>223.7743086561141</v>
      </c>
      <c r="X75" s="8">
        <f>INT(T73)+1</f>
        <v>2</v>
      </c>
      <c r="Y75" s="15">
        <f>(AJ85)</f>
        <v>0.1891251286965456</v>
      </c>
      <c r="Z75" s="11"/>
      <c r="AA75" s="2">
        <f>IF(Y73&lt;0,1,-1)</f>
        <v>1</v>
      </c>
      <c r="AB75" s="11"/>
      <c r="AC75" s="11"/>
      <c r="AD75" s="11"/>
      <c r="AE75" s="11"/>
      <c r="AF75" s="11">
        <f>(AG74+AI72*2)</f>
        <v>202.42306718504992</v>
      </c>
      <c r="AG75" s="11">
        <f>(AG73+AF75)/2</f>
        <v>224.97864071540397</v>
      </c>
      <c r="AH75" s="11">
        <f>(AG74+AC72)/2</f>
        <v>412.60590859252494</v>
      </c>
      <c r="AI75" s="2">
        <f>IF(AJ85&gt;1,-1,1)</f>
        <v>1</v>
      </c>
      <c r="AJ75" s="12">
        <f>Y83-Y80</f>
        <v>-1.4202528717743919</v>
      </c>
      <c r="AK75" s="6">
        <f>AK73^2</f>
        <v>919.66627600000004</v>
      </c>
      <c r="AL75" s="7"/>
    </row>
    <row r="76" spans="1:38" x14ac:dyDescent="0.25">
      <c r="A76" s="17">
        <f>(O74+O73)+A72</f>
        <v>252.71955381297136</v>
      </c>
      <c r="B76" s="18">
        <f>(A74+B74)/2</f>
        <v>235.67127494927939</v>
      </c>
      <c r="C76" s="8">
        <f>(C74)</f>
        <v>1.0856282661444025E-3</v>
      </c>
      <c r="D76" s="4">
        <f>(D73*D74*D75*B75*A73)</f>
        <v>1.6871360813538542E+18</v>
      </c>
      <c r="E76" s="4">
        <f>(C76*A73)</f>
        <v>2.1138831868124644E-3</v>
      </c>
      <c r="F76" s="11">
        <f>(F78/O78)*O79-F79</f>
        <v>5.6022294919656224</v>
      </c>
      <c r="G76" s="11"/>
      <c r="H76" s="11"/>
      <c r="I76" s="11"/>
      <c r="J76" s="11"/>
      <c r="K76" s="11"/>
      <c r="L76" s="11"/>
      <c r="M76" s="11"/>
      <c r="N76" s="12">
        <f>(F76+Q85)*F79</f>
        <v>-52.960210209951285</v>
      </c>
      <c r="O76" s="2">
        <f>H75</f>
        <v>1</v>
      </c>
      <c r="P76" s="2">
        <f>IF(Q85&lt;100,1,-1)</f>
        <v>1</v>
      </c>
      <c r="Q76" s="12">
        <f>Q75+F83</f>
        <v>1.3024982961723062</v>
      </c>
      <c r="R76" s="16"/>
      <c r="S76" s="7"/>
      <c r="T76" s="17">
        <f>(AH74+AH73)+T72</f>
        <v>259.32536542012963</v>
      </c>
      <c r="U76" s="18">
        <f>(T74+U74)/2</f>
        <v>241.8953208631695</v>
      </c>
      <c r="V76" s="8">
        <f>(V74)</f>
        <v>4.5882336741662044E-3</v>
      </c>
      <c r="W76" s="4">
        <f>(W73*W74*W75*U75*T73)</f>
        <v>5532041737879.1934</v>
      </c>
      <c r="X76" s="4">
        <f>(V76*T73)</f>
        <v>4.7108717387704096E-3</v>
      </c>
      <c r="Y76" s="11">
        <f>(Y78/AH78)*AH79-Y79</f>
        <v>0.27778982598699853</v>
      </c>
      <c r="Z76" s="11"/>
      <c r="AA76" s="11"/>
      <c r="AB76" s="11"/>
      <c r="AC76" s="11"/>
      <c r="AD76" s="11"/>
      <c r="AE76" s="11"/>
      <c r="AF76" s="11"/>
      <c r="AG76" s="12">
        <f>(Y76+AJ85)*Y79</f>
        <v>-8.8305350894867046E-2</v>
      </c>
      <c r="AH76" s="2">
        <f>AA75</f>
        <v>1</v>
      </c>
      <c r="AI76" s="2">
        <f>IF(AJ85&lt;100,1,-1)</f>
        <v>1</v>
      </c>
      <c r="AJ76" s="12">
        <f>AJ75+Y83</f>
        <v>0.48242763400052358</v>
      </c>
      <c r="AK76" s="16"/>
      <c r="AL76" s="7"/>
    </row>
    <row r="77" spans="1:38" x14ac:dyDescent="0.25">
      <c r="A77" s="17">
        <f>(O74*-1-O73)+A72</f>
        <v>209.85367943258137</v>
      </c>
      <c r="B77" s="4">
        <f>(B74+B73)/2</f>
        <v>227.63392350295624</v>
      </c>
      <c r="C77" s="4">
        <f>(B73+A75)/2</f>
        <v>222.2756892054075</v>
      </c>
      <c r="D77" s="4">
        <f>D73</f>
        <v>59719415.571810298</v>
      </c>
      <c r="E77" s="4">
        <f>(B74+A72)/2</f>
        <v>230.79982863725348</v>
      </c>
      <c r="F77" s="11">
        <f>(F79/O79)</f>
        <v>-3.7344076832818049</v>
      </c>
      <c r="G77" s="11"/>
      <c r="H77" s="11"/>
      <c r="I77" s="11"/>
      <c r="J77" s="11"/>
      <c r="K77" s="11"/>
      <c r="L77" s="11"/>
      <c r="M77" s="11"/>
      <c r="N77" s="11"/>
      <c r="O77" s="2">
        <f>H73</f>
        <v>1</v>
      </c>
      <c r="P77" s="2">
        <f>IF(Q85&lt;0,-1,1)</f>
        <v>1</v>
      </c>
      <c r="Q77" s="19">
        <f>Q9</f>
        <v>924.95091178901396</v>
      </c>
      <c r="R77" s="20" t="s">
        <v>1</v>
      </c>
      <c r="S77" s="7"/>
      <c r="T77" s="17">
        <f>(AH74*-1-AH73)+T72</f>
        <v>214.21421835942158</v>
      </c>
      <c r="U77" s="4">
        <f>(U74+U73)/2</f>
        <v>233.43698078928674</v>
      </c>
      <c r="V77" s="4">
        <f>(U73+T75)/2</f>
        <v>227.79808740669822</v>
      </c>
      <c r="W77" s="4">
        <f>W73</f>
        <v>161433.38898961837</v>
      </c>
      <c r="X77" s="4">
        <f>(U74+T72)/2</f>
        <v>236.51310968517828</v>
      </c>
      <c r="Y77" s="11">
        <f>(Y79/AH79)</f>
        <v>-0.25642590153597228</v>
      </c>
      <c r="Z77" s="11"/>
      <c r="AA77" s="11"/>
      <c r="AB77" s="11"/>
      <c r="AC77" s="11"/>
      <c r="AD77" s="11"/>
      <c r="AE77" s="11"/>
      <c r="AF77" s="11"/>
      <c r="AG77" s="11"/>
      <c r="AH77" s="2">
        <f>AA73</f>
        <v>1</v>
      </c>
      <c r="AI77" s="2">
        <f>IF(AJ85&lt;0,-1,1)</f>
        <v>1</v>
      </c>
      <c r="AJ77" s="19">
        <f>Q9</f>
        <v>924.95091178901396</v>
      </c>
      <c r="AK77" s="20" t="s">
        <v>1</v>
      </c>
      <c r="AL77" s="7"/>
    </row>
    <row r="78" spans="1:38" x14ac:dyDescent="0.25">
      <c r="A78" s="8">
        <f>(A77-A76)+A72-A74</f>
        <v>-52.608767004441745</v>
      </c>
      <c r="B78" s="8">
        <f>(A78*-1)+A79</f>
        <v>21.432937190194991</v>
      </c>
      <c r="C78" s="8">
        <f>(B78/2)+A73</f>
        <v>12.663620537188962</v>
      </c>
      <c r="D78" s="8">
        <f>(C86+C79+B85+B78+A73)*-1</f>
        <v>7.403457128104229</v>
      </c>
      <c r="E78" s="8">
        <f>(C78*A73)*D78</f>
        <v>182.55439643114724</v>
      </c>
      <c r="F78" s="2">
        <f>(E78*A73)</f>
        <v>355.46114754824373</v>
      </c>
      <c r="G78" s="2">
        <f>(F78+E78)</f>
        <v>538.01554397939094</v>
      </c>
      <c r="H78" s="11"/>
      <c r="I78" s="11"/>
      <c r="J78" s="11"/>
      <c r="K78" s="11"/>
      <c r="L78" s="11"/>
      <c r="M78" s="11"/>
      <c r="N78" s="11"/>
      <c r="O78" s="11">
        <v>785.5</v>
      </c>
      <c r="P78" s="2">
        <f>IF(N76&gt;-1,1,-1)</f>
        <v>-1</v>
      </c>
      <c r="Q78" s="21">
        <f>N10</f>
        <v>0.32600000000000001</v>
      </c>
      <c r="R78" s="22">
        <f>(F87+H82)/2</f>
        <v>1566.2172234083991</v>
      </c>
      <c r="S78" s="7"/>
      <c r="T78" s="8">
        <f>(T77-T76)+T72-T74</f>
        <v>-55.875569416690439</v>
      </c>
      <c r="U78" s="8">
        <f>(T78*-1)+T79</f>
        <v>22.555573530354025</v>
      </c>
      <c r="V78" s="8">
        <f>(U78/2)+T73</f>
        <v>12.304515583566257</v>
      </c>
      <c r="W78" s="8">
        <f>(V86+V79+U85+U78+T73)*-1</f>
        <v>7.2800364683008318</v>
      </c>
      <c r="X78" s="8">
        <f>(V78*T73)*W78</f>
        <v>91.971618149298919</v>
      </c>
      <c r="Y78" s="2">
        <f>(X78*T73)</f>
        <v>94.429910827776496</v>
      </c>
      <c r="Z78" s="2">
        <f>(Y78+X78)</f>
        <v>186.40152897707543</v>
      </c>
      <c r="AA78" s="11"/>
      <c r="AB78" s="11"/>
      <c r="AC78" s="11"/>
      <c r="AD78" s="11"/>
      <c r="AE78" s="11"/>
      <c r="AF78" s="11"/>
      <c r="AG78" s="11"/>
      <c r="AH78" s="11">
        <v>785.5</v>
      </c>
      <c r="AI78" s="2">
        <f>IF(AG76&gt;-1,1,-1)</f>
        <v>1</v>
      </c>
      <c r="AJ78" s="21">
        <f>H10</f>
        <v>0.1797</v>
      </c>
      <c r="AK78" s="22">
        <f>(Y87+AA82)/2</f>
        <v>1551.2482326838733</v>
      </c>
      <c r="AL78" s="7"/>
    </row>
    <row r="79" spans="1:38" x14ac:dyDescent="0.25">
      <c r="A79" s="8">
        <f>(A77-A76)+A72-A75</f>
        <v>-31.175829814246754</v>
      </c>
      <c r="B79" s="8">
        <f>A80+(A79*-1)+A78</f>
        <v>-105.21753400888349</v>
      </c>
      <c r="C79" s="4">
        <f>(B79/10)</f>
        <v>-10.521753400888349</v>
      </c>
      <c r="D79" s="4"/>
      <c r="E79" s="4"/>
      <c r="F79" s="11">
        <f>(Q85*-1)</f>
        <v>-4.9967345748308212</v>
      </c>
      <c r="G79" s="11"/>
      <c r="H79" s="11"/>
      <c r="I79" s="11"/>
      <c r="J79" s="11"/>
      <c r="K79" s="11"/>
      <c r="L79" s="11"/>
      <c r="M79" s="11"/>
      <c r="N79" s="11"/>
      <c r="O79" s="11">
        <f>(H87/1000)*8.9</f>
        <v>1.3380260000000002</v>
      </c>
      <c r="P79" s="2">
        <f>(P81+O83)/2</f>
        <v>902.40084173969262</v>
      </c>
      <c r="Q79" s="5"/>
      <c r="R79" s="22">
        <f>(P82+P81)/2</f>
        <v>907.7426397357151</v>
      </c>
      <c r="S79" s="7"/>
      <c r="T79" s="8">
        <f>(T77-T76)+T72-T75</f>
        <v>-33.319995886336415</v>
      </c>
      <c r="U79" s="8">
        <f>T80+(T79*-1)+T78</f>
        <v>-111.75113883338088</v>
      </c>
      <c r="V79" s="4">
        <f>(U79/10)</f>
        <v>-11.175113883338089</v>
      </c>
      <c r="W79" s="4"/>
      <c r="X79" s="4"/>
      <c r="Y79" s="11">
        <f>(AJ85*-1)</f>
        <v>-0.1891251286965456</v>
      </c>
      <c r="Z79" s="11"/>
      <c r="AA79" s="11"/>
      <c r="AB79" s="11"/>
      <c r="AC79" s="11"/>
      <c r="AD79" s="11"/>
      <c r="AE79" s="11"/>
      <c r="AF79" s="11"/>
      <c r="AG79" s="11"/>
      <c r="AH79" s="11">
        <f>(AA87/1000)*8.9</f>
        <v>0.73754300000000006</v>
      </c>
      <c r="AI79" s="2">
        <f>(AI81+AH83)/2</f>
        <v>903.8346144159583</v>
      </c>
      <c r="AJ79" s="5"/>
      <c r="AK79" s="22">
        <f>(AI82+AI81)/2</f>
        <v>909.32602422092759</v>
      </c>
      <c r="AL79" s="7"/>
    </row>
    <row r="80" spans="1:38" x14ac:dyDescent="0.25">
      <c r="A80" s="8">
        <f>(A79+A78)</f>
        <v>-83.784596818688499</v>
      </c>
      <c r="B80" s="4"/>
      <c r="C80" s="4">
        <f>((F80+E80*-1)+E84)*10-A73+O80*-1-C76*111</f>
        <v>12.548068529349639</v>
      </c>
      <c r="D80" s="4"/>
      <c r="E80" s="4">
        <f>(E84+O80+F80)</f>
        <v>-0.248353012720119</v>
      </c>
      <c r="F80" s="11">
        <f>(O80*E84)</f>
        <v>4.3670597954842698</v>
      </c>
      <c r="G80" s="11"/>
      <c r="H80" s="21">
        <f>(P81+H81)/2</f>
        <v>689.07043945593466</v>
      </c>
      <c r="I80" s="11"/>
      <c r="J80" s="11"/>
      <c r="K80" s="11"/>
      <c r="L80" s="11"/>
      <c r="M80" s="11"/>
      <c r="N80" s="11">
        <f>(A76-A72)-(A72-B77)</f>
        <v>17.780244070374863</v>
      </c>
      <c r="O80" s="2">
        <f>(P80+A73+C76*10)</f>
        <v>-1.3287022917257394</v>
      </c>
      <c r="P80" s="11">
        <f>E84</f>
        <v>-3.2867105164786494</v>
      </c>
      <c r="Q80" s="12">
        <f>(Q76*Q75*10)</f>
        <v>-19.957930656845406</v>
      </c>
      <c r="R80" s="24">
        <f>(P91+O91+P93+O93+N93+P92+O92+N92+H94+F94+E94+E93+F93+H93+H92+F92+E92+E91+F91+H91)</f>
        <v>0</v>
      </c>
      <c r="S80" s="7"/>
      <c r="T80" s="8">
        <f>(T79+T78)</f>
        <v>-89.195565303026854</v>
      </c>
      <c r="U80" s="4"/>
      <c r="V80" s="4">
        <f>((Y80+X80*-1)+X84)*10-T73+AH80*-1-V76*111</f>
        <v>13.466228341738534</v>
      </c>
      <c r="W80" s="4"/>
      <c r="X80" s="4">
        <f>(X84+AH80+Y80)</f>
        <v>-0.47735979539254991</v>
      </c>
      <c r="Y80" s="11">
        <f>(AH80*X84)</f>
        <v>3.3229333775493073</v>
      </c>
      <c r="Z80" s="11"/>
      <c r="AA80" s="21">
        <f>(AI81+AA81)/2</f>
        <v>690.48260509297802</v>
      </c>
      <c r="AB80" s="11"/>
      <c r="AC80" s="11"/>
      <c r="AD80" s="11"/>
      <c r="AE80" s="11"/>
      <c r="AF80" s="11"/>
      <c r="AG80" s="11">
        <f>(T76-T72)-(T72-U77)</f>
        <v>19.222762429865156</v>
      </c>
      <c r="AH80" s="2">
        <f>(AI80+T73+V76*10)</f>
        <v>-1.3638410089054751</v>
      </c>
      <c r="AI80" s="11">
        <f>X84</f>
        <v>-2.4364521640363819</v>
      </c>
      <c r="AJ80" s="12">
        <f>(AJ76*AJ75*10)</f>
        <v>-6.851692326125689</v>
      </c>
      <c r="AK80" s="24">
        <f>(AI91+AH91+AI93+AH93+AG93+AI92+AH92+AG92+AA94+Y94+X94+X93+Y93+AA93+AA92+Y92+X92+X91+Y91+AA91)</f>
        <v>4</v>
      </c>
      <c r="AL80" s="7"/>
    </row>
    <row r="81" spans="1:38" x14ac:dyDescent="0.25">
      <c r="A81" s="8">
        <f>(A72+A80)</f>
        <v>147.50201980408787</v>
      </c>
      <c r="B81" s="4">
        <f>(A72+A81)/2</f>
        <v>189.39431821343211</v>
      </c>
      <c r="C81" s="4">
        <f>(E77-A72)-(A72-B81)</f>
        <v>-42.37908639486713</v>
      </c>
      <c r="D81" s="8">
        <f>(B77+C77)/2</f>
        <v>224.95480635418187</v>
      </c>
      <c r="E81" s="8">
        <f>(A76+A82)</f>
        <v>463.06002123107561</v>
      </c>
      <c r="F81" s="21">
        <f>(G78*2)-G85</f>
        <v>921.12561102658981</v>
      </c>
      <c r="G81" s="21">
        <f>(A73*F81)</f>
        <v>1793.5715224206126</v>
      </c>
      <c r="H81" s="21">
        <f>(N83+P81)/2</f>
        <v>459.71464318410921</v>
      </c>
      <c r="I81" s="21"/>
      <c r="J81" s="21"/>
      <c r="K81" s="21"/>
      <c r="L81" s="21"/>
      <c r="M81" s="21"/>
      <c r="N81" s="25">
        <f>(O81+O82)/2</f>
        <v>932.26602548865981</v>
      </c>
      <c r="O81" s="26">
        <f>(A75+C77)/2*Q86/Q78</f>
        <v>881.03364975560248</v>
      </c>
      <c r="P81" s="27">
        <f>B74*Q86/Q78</f>
        <v>918.42623572776017</v>
      </c>
      <c r="Q81" s="5">
        <f>(A77+B74)/2</f>
        <v>220.08336004215602</v>
      </c>
      <c r="R81" s="2"/>
      <c r="S81" s="7"/>
      <c r="T81" s="8">
        <f>(T72+T80)</f>
        <v>147.57422658674875</v>
      </c>
      <c r="U81" s="4">
        <f>(T72+T81)/2</f>
        <v>192.17200923826218</v>
      </c>
      <c r="V81" s="4">
        <f>(X77-T72)-(T72-U81)</f>
        <v>-44.854464856110752</v>
      </c>
      <c r="W81" s="8">
        <f>(U77+V77)/2</f>
        <v>230.61753409799246</v>
      </c>
      <c r="X81" s="8">
        <f>(T76+T82)</f>
        <v>473.79626598414853</v>
      </c>
      <c r="Y81" s="21">
        <f>(Z78*2)-Z85</f>
        <v>217.94879489910127</v>
      </c>
      <c r="Z81" s="21">
        <f>(T73*Y81)</f>
        <v>223.7743086561141</v>
      </c>
      <c r="AA81" s="21">
        <f>(AG83+AI81)/2</f>
        <v>460.65636635508986</v>
      </c>
      <c r="AB81" s="21"/>
      <c r="AC81" s="21"/>
      <c r="AD81" s="21"/>
      <c r="AE81" s="21"/>
      <c r="AF81" s="21"/>
      <c r="AG81" s="25">
        <f>(AH81+AH82)/2</f>
        <v>934.2873371012447</v>
      </c>
      <c r="AH81" s="26">
        <f>(T75+V77)/2*AJ86/AJ78</f>
        <v>881.86897519608101</v>
      </c>
      <c r="AI81" s="27">
        <f>U74*AJ86/AJ78</f>
        <v>920.30884383086629</v>
      </c>
      <c r="AJ81" s="5">
        <f>(T77+U74)/2</f>
        <v>225.23532292000129</v>
      </c>
      <c r="AK81" s="2"/>
      <c r="AL81" s="7"/>
    </row>
    <row r="82" spans="1:38" x14ac:dyDescent="0.25">
      <c r="A82" s="8">
        <f>((A77+A76+A75+A74)/4-A77-A72)*-1</f>
        <v>210.34046741810425</v>
      </c>
      <c r="B82" s="4">
        <f>(B77+C77)/2</f>
        <v>224.95480635418187</v>
      </c>
      <c r="C82" s="4">
        <f>(E84+A73)</f>
        <v>-1.3395585743871834</v>
      </c>
      <c r="D82" s="8">
        <f>(A84+D83+A76+D83)/2</f>
        <v>389.07464946850951</v>
      </c>
      <c r="E82" s="8">
        <f>(A77+D83+A76)/3</f>
        <v>206.74652303163506</v>
      </c>
      <c r="F82" s="21">
        <f>(O82+P81)/2</f>
        <v>950.96231847473859</v>
      </c>
      <c r="G82" s="5"/>
      <c r="H82" s="21">
        <f>(O82+P81+N81)/3</f>
        <v>944.73022081271245</v>
      </c>
      <c r="I82" s="21"/>
      <c r="J82" s="21"/>
      <c r="K82" s="21"/>
      <c r="L82" s="21"/>
      <c r="M82" s="21"/>
      <c r="N82" s="28">
        <f>((A82+A76)/2)*Q86/Q78</f>
        <v>923.27918343619365</v>
      </c>
      <c r="O82" s="29">
        <f>((A83+A74)/2)*Q86/Q78</f>
        <v>983.49840122171713</v>
      </c>
      <c r="P82" s="30">
        <f>B73*Q86/Q78</f>
        <v>897.05904374367003</v>
      </c>
      <c r="Q82" s="12">
        <f>A73+E84</f>
        <v>-1.3395585743871834</v>
      </c>
      <c r="R82" s="2"/>
      <c r="S82" s="7"/>
      <c r="T82" s="8">
        <f>((T77+T76+T75+T74)/4-T77-T72)*-1</f>
        <v>214.4709005640189</v>
      </c>
      <c r="U82" s="4">
        <f>(U77+V77)/2</f>
        <v>230.61753409799246</v>
      </c>
      <c r="V82" s="4">
        <f>(X84+T73)</f>
        <v>-1.4097233456471372</v>
      </c>
      <c r="W82" s="8">
        <f>(T84+W83+T76+W83)/2</f>
        <v>396.8917427379443</v>
      </c>
      <c r="X82" s="8">
        <f>(T77+W83+T76)/3</f>
        <v>211.19912135885684</v>
      </c>
      <c r="Y82" s="21">
        <f>(AH82+AI81)/2</f>
        <v>953.5072714186374</v>
      </c>
      <c r="Z82" s="5"/>
      <c r="AA82" s="21">
        <f>(AH82+AI81+AG81)/3</f>
        <v>947.10062664617317</v>
      </c>
      <c r="AB82" s="21"/>
      <c r="AC82" s="21"/>
      <c r="AD82" s="21"/>
      <c r="AE82" s="21"/>
      <c r="AF82" s="21"/>
      <c r="AG82" s="28">
        <f>((T82+T76)/2)*AJ86/AJ78</f>
        <v>922.80853141041723</v>
      </c>
      <c r="AH82" s="29">
        <f>((T83+T74)/2)*AJ86/AJ78</f>
        <v>986.70569900640839</v>
      </c>
      <c r="AI82" s="30">
        <f>U73*AJ86/AJ78</f>
        <v>898.34320461098889</v>
      </c>
      <c r="AJ82" s="12">
        <f>T73+X84</f>
        <v>-1.4097233456471372</v>
      </c>
      <c r="AK82" s="2"/>
      <c r="AL82" s="7"/>
    </row>
    <row r="83" spans="1:38" x14ac:dyDescent="0.25">
      <c r="A83" s="8">
        <f>((A77+A76+A75+A74)/4-A77-A72*-1)</f>
        <v>252.23276582744847</v>
      </c>
      <c r="B83" s="4">
        <f>B74/2</f>
        <v>115.15652032586532</v>
      </c>
      <c r="C83" s="4">
        <f>(B73+C77)/2</f>
        <v>223.61524777979469</v>
      </c>
      <c r="D83" s="8">
        <f>(A82+A81+B83)/3</f>
        <v>157.66633584935246</v>
      </c>
      <c r="E83" s="8">
        <f>(A77+A76+B83)/3</f>
        <v>192.57658452380602</v>
      </c>
      <c r="F83" s="5">
        <f>E80+(C87*-1)-E80-E84</f>
        <v>2.834779045828288</v>
      </c>
      <c r="G83" s="5"/>
      <c r="H83" s="21">
        <f>(P83+N83)/2</f>
        <v>321.41713602939359</v>
      </c>
      <c r="I83" s="5"/>
      <c r="J83" s="5"/>
      <c r="K83" s="5"/>
      <c r="L83" s="5"/>
      <c r="M83" s="5"/>
      <c r="N83" s="28">
        <f>((N82+N81)/2/Q77)</f>
        <v>1.0030506404582651</v>
      </c>
      <c r="O83" s="29">
        <f>((A75+D81)/2)*Q86/Q78</f>
        <v>886.37544775162507</v>
      </c>
      <c r="P83" s="30">
        <f>((B83+E82)/2)*Q86/Q78</f>
        <v>641.83122141832894</v>
      </c>
      <c r="Q83" s="12">
        <f>(Q82*Q80/10)</f>
        <v>2.6734817138402094</v>
      </c>
      <c r="R83" s="2">
        <f>(R82+R81+F87)/3</f>
        <v>729.23474200136195</v>
      </c>
      <c r="S83" s="7"/>
      <c r="T83" s="8">
        <f>((T77+T76+T75+T74)/4-T77-T72*-1)</f>
        <v>259.0686832155323</v>
      </c>
      <c r="U83" s="4">
        <f>U74/2</f>
        <v>118.12821374029049</v>
      </c>
      <c r="V83" s="4">
        <f>(U73+V77)/2</f>
        <v>229.20781075234532</v>
      </c>
      <c r="W83" s="8">
        <f>(T82+T81+U83)/3</f>
        <v>160.05778029701938</v>
      </c>
      <c r="X83" s="8">
        <f>(T77+T76+U83)/3</f>
        <v>197.22259917328054</v>
      </c>
      <c r="Y83" s="5">
        <f>X80+(V87*-1)-X80-X84</f>
        <v>1.9026805057749154</v>
      </c>
      <c r="Z83" s="5"/>
      <c r="AA83" s="21">
        <f>(AI83+AG83)/2</f>
        <v>321.21582113609958</v>
      </c>
      <c r="AB83" s="5"/>
      <c r="AC83" s="5"/>
      <c r="AD83" s="5"/>
      <c r="AE83" s="5"/>
      <c r="AF83" s="5"/>
      <c r="AG83" s="28">
        <f>((AG82+AG81)/2/AJ77)</f>
        <v>1.0038888793134544</v>
      </c>
      <c r="AH83" s="29">
        <f>((T75+W81)/2)*AJ86/AJ78</f>
        <v>887.3603850010503</v>
      </c>
      <c r="AI83" s="30">
        <f>((U83+X82)/2)*AJ86/AJ78</f>
        <v>641.42775339288573</v>
      </c>
      <c r="AJ83" s="12">
        <f>(AJ82*AJ80/10)</f>
        <v>0.96589906293307215</v>
      </c>
      <c r="AK83" s="2">
        <f>(AK82+AK81+Y87)/3</f>
        <v>718.46527957385786</v>
      </c>
      <c r="AL83" s="7"/>
    </row>
    <row r="84" spans="1:38" x14ac:dyDescent="0.25">
      <c r="A84" s="8">
        <f>(A77+A82)/2</f>
        <v>210.09707342534281</v>
      </c>
      <c r="B84" s="4">
        <f>(A74+B76)/2</f>
        <v>238.35039209805376</v>
      </c>
      <c r="C84" s="4">
        <f>(A73*C76)</f>
        <v>2.1138831868124644E-3</v>
      </c>
      <c r="D84" s="4">
        <f>(A74+B84)/2</f>
        <v>239.68995067244094</v>
      </c>
      <c r="E84" s="4">
        <f>(D84-A72)-(A72-A75)</f>
        <v>-3.2867105164786494</v>
      </c>
      <c r="F84" s="21">
        <f>(N84+H84)/2</f>
        <v>963.34444616473547</v>
      </c>
      <c r="G84" s="5"/>
      <c r="H84" s="31">
        <f>A83*Q86/Q78</f>
        <v>1005.836182747494</v>
      </c>
      <c r="I84" s="5"/>
      <c r="J84" s="5"/>
      <c r="K84" s="5"/>
      <c r="L84" s="5"/>
      <c r="M84" s="5"/>
      <c r="N84" s="28">
        <f>(N82+P81)/2</f>
        <v>920.85270958197691</v>
      </c>
      <c r="O84" s="29">
        <f>((E81+A81)/2)*Q86/Q78</f>
        <v>1217.3783026774731</v>
      </c>
      <c r="P84" s="30">
        <f>((E82+E84/10)/2)*Q86/Q78</f>
        <v>411.56933676991309</v>
      </c>
      <c r="Q84" s="8">
        <f>(Q83+C87)</f>
        <v>3.1254131844905708</v>
      </c>
      <c r="R84" s="2"/>
      <c r="S84" s="7"/>
      <c r="T84" s="8">
        <f>(T77+T82)/2</f>
        <v>214.34255946172024</v>
      </c>
      <c r="U84" s="4">
        <f>(T74+U76)/2</f>
        <v>244.71476755446375</v>
      </c>
      <c r="V84" s="4">
        <f>(T73*V76)</f>
        <v>4.7108717387704096E-3</v>
      </c>
      <c r="W84" s="4">
        <f>(T74+U84)/2</f>
        <v>246.12449090011086</v>
      </c>
      <c r="X84" s="4">
        <f>(W84-T72)-(T72-T75)</f>
        <v>-2.4364521640363819</v>
      </c>
      <c r="Y84" s="21">
        <f>(AG84+AA84)/2</f>
        <v>965.36498168141884</v>
      </c>
      <c r="Z84" s="5"/>
      <c r="AA84" s="31">
        <f>T83*AJ86/AJ78</f>
        <v>1009.1712757421958</v>
      </c>
      <c r="AB84" s="5"/>
      <c r="AC84" s="5"/>
      <c r="AD84" s="5"/>
      <c r="AE84" s="5"/>
      <c r="AF84" s="5"/>
      <c r="AG84" s="28">
        <f>(AG82+AI81)/2</f>
        <v>921.55868762064176</v>
      </c>
      <c r="AH84" s="29">
        <f>((X81+T81)/2)*AJ86/AJ78</f>
        <v>1210.2374646622932</v>
      </c>
      <c r="AI84" s="30">
        <f>((X82+X84/10)/2)*AJ86/AJ78</f>
        <v>410.87599693855657</v>
      </c>
      <c r="AJ84" s="8">
        <f>(AJ83+V87)</f>
        <v>1.4996707211945386</v>
      </c>
      <c r="AK84" s="2"/>
      <c r="AL84" s="7"/>
    </row>
    <row r="85" spans="1:38" x14ac:dyDescent="0.25">
      <c r="A85" s="8">
        <f>(A73*-1)+A80</f>
        <v>-85.731748760779965</v>
      </c>
      <c r="B85" s="8">
        <f>(A86*-1)+A85</f>
        <v>-3.8943038841829321</v>
      </c>
      <c r="C85" s="8">
        <f>(B85/2)+A73</f>
        <v>0</v>
      </c>
      <c r="D85" s="4"/>
      <c r="E85" s="8">
        <f>(C85*A73)+D78</f>
        <v>7.403457128104229</v>
      </c>
      <c r="F85" s="21">
        <f>A81*Q86/Q86</f>
        <v>147.50201980408787</v>
      </c>
      <c r="G85" s="21">
        <f>(E85+F85)</f>
        <v>154.9054769321921</v>
      </c>
      <c r="H85" s="5">
        <f>(O86+H83)/2</f>
        <v>1083.9877514508905</v>
      </c>
      <c r="I85" s="5"/>
      <c r="J85" s="5"/>
      <c r="K85" s="5"/>
      <c r="L85" s="5"/>
      <c r="M85" s="5"/>
      <c r="N85" s="32">
        <f>(O82+H82+O82)/3</f>
        <v>970.57567441871561</v>
      </c>
      <c r="O85" s="29">
        <f>((B76+E84)/2)*Q86/Q78</f>
        <v>463.34345669116715</v>
      </c>
      <c r="P85" s="30">
        <f>D81*Q86/Q78</f>
        <v>897.05904374367003</v>
      </c>
      <c r="Q85" s="9">
        <f>((Q84*Q83*C87*-1)*Q86*Q75*Q76)*0.51</f>
        <v>4.9967345748308212</v>
      </c>
      <c r="R85" s="2"/>
      <c r="S85" s="7"/>
      <c r="T85" s="8">
        <f>(T73*-1)+T80</f>
        <v>-90.222294121416098</v>
      </c>
      <c r="U85" s="8">
        <f>(T86*-1)+T85</f>
        <v>-2.0534576367784894</v>
      </c>
      <c r="V85" s="8">
        <f>(U85/2)+T73</f>
        <v>0</v>
      </c>
      <c r="W85" s="4"/>
      <c r="X85" s="8">
        <f>(V85*T73)+W78</f>
        <v>7.2800364683008318</v>
      </c>
      <c r="Y85" s="21">
        <f>T81*AJ86/AJ86</f>
        <v>147.57422658674875</v>
      </c>
      <c r="Z85" s="21">
        <f>(X85+Y85)</f>
        <v>154.85426305504959</v>
      </c>
      <c r="AA85" s="5">
        <f>(AH86+AA83)/2</f>
        <v>1083.416441978467</v>
      </c>
      <c r="AB85" s="5"/>
      <c r="AC85" s="5"/>
      <c r="AD85" s="5"/>
      <c r="AE85" s="5"/>
      <c r="AF85" s="5"/>
      <c r="AG85" s="32">
        <f>(AH82+AA82+AH82)/3</f>
        <v>973.50400821966332</v>
      </c>
      <c r="AH85" s="29">
        <f>((U76+X84)/2)*AJ86/AJ78</f>
        <v>466.39178655924644</v>
      </c>
      <c r="AI85" s="30">
        <f>W81*AJ86/AJ78</f>
        <v>898.34320461098889</v>
      </c>
      <c r="AJ85" s="9">
        <f>((AJ84*AJ83*V87*-1)*AJ86*AJ75*AJ76)*0.51</f>
        <v>0.1891251286965456</v>
      </c>
      <c r="AK85" s="2"/>
      <c r="AL85" s="7"/>
    </row>
    <row r="86" spans="1:38" x14ac:dyDescent="0.25">
      <c r="A86" s="8">
        <f>A73+A80</f>
        <v>-81.837444876597033</v>
      </c>
      <c r="B86" s="8">
        <f>(A87+(A85*-1)+A86)</f>
        <v>-163.67488975319407</v>
      </c>
      <c r="C86" s="4">
        <f>(B86/10)</f>
        <v>-16.367488975319407</v>
      </c>
      <c r="D86" s="4"/>
      <c r="E86" s="4">
        <f>((D82+B83)/2)*Q86</f>
        <v>327.75026036634364</v>
      </c>
      <c r="F86" s="5">
        <f>((E81+B83)/2)*Q86/Q78</f>
        <v>1152.8857423681336</v>
      </c>
      <c r="G86" s="5"/>
      <c r="H86" s="5">
        <f>(Q87/2)</f>
        <v>150.33630080480464</v>
      </c>
      <c r="I86" s="5"/>
      <c r="J86" s="5"/>
      <c r="K86" s="5"/>
      <c r="L86" s="5"/>
      <c r="M86" s="5"/>
      <c r="N86" s="21">
        <f>(Q87/2)/Q78</f>
        <v>461.15429694725344</v>
      </c>
      <c r="O86" s="35">
        <f>E81*Q86/Q78</f>
        <v>1846.5583668723873</v>
      </c>
      <c r="P86" s="30">
        <f>((B73+A76)/2)*Q86/Q78</f>
        <v>952.41820278726868</v>
      </c>
      <c r="Q86" s="33">
        <f>ROUND(O79,N87)</f>
        <v>1.3</v>
      </c>
      <c r="R86" s="34">
        <f>(P81+P83)/2</f>
        <v>780.12872857304455</v>
      </c>
      <c r="S86" s="7"/>
      <c r="T86" s="8">
        <f>T73+T80</f>
        <v>-88.168836484637609</v>
      </c>
      <c r="U86" s="8">
        <f>(T87+(T85*-1)+T86)</f>
        <v>-176.33767296927522</v>
      </c>
      <c r="V86" s="4">
        <f>(U86/10)</f>
        <v>-17.633767296927523</v>
      </c>
      <c r="W86" s="4"/>
      <c r="X86" s="4">
        <f>((W82+U83)/2)*AJ86</f>
        <v>180.25698476738216</v>
      </c>
      <c r="Y86" s="5">
        <f>((X81+U83)/2)*AJ86/AJ78</f>
        <v>1152.8857423681338</v>
      </c>
      <c r="Z86" s="5"/>
      <c r="AA86" s="5">
        <f>(AJ87/2)</f>
        <v>82.869427161421456</v>
      </c>
      <c r="AB86" s="5"/>
      <c r="AC86" s="5"/>
      <c r="AD86" s="5"/>
      <c r="AE86" s="5"/>
      <c r="AF86" s="5"/>
      <c r="AG86" s="21">
        <f>(AJ87/2)/AJ78</f>
        <v>461.1542969472535</v>
      </c>
      <c r="AH86" s="35">
        <f>X81*AJ86/AJ78</f>
        <v>1845.6170628208345</v>
      </c>
      <c r="AI86" s="30">
        <f>((U73+T76)/2)*AJ86/AJ78</f>
        <v>954.25717769250264</v>
      </c>
      <c r="AJ86" s="33">
        <f>ROUND(AH79,AG87)</f>
        <v>0.7</v>
      </c>
      <c r="AK86" s="34">
        <f>(AI81+AI83)/2</f>
        <v>780.86829861187607</v>
      </c>
      <c r="AL86" s="7"/>
    </row>
    <row r="87" spans="1:38" x14ac:dyDescent="0.25">
      <c r="A87" s="21">
        <f>(A85+A86)</f>
        <v>-167.569193637377</v>
      </c>
      <c r="B87" s="5"/>
      <c r="C87" s="12">
        <f>INT(C80)-C80+N87</f>
        <v>0.45193147065036143</v>
      </c>
      <c r="D87" s="5"/>
      <c r="E87" s="21" t="s">
        <v>3</v>
      </c>
      <c r="F87" s="5">
        <f>((O87+B83+E81)/3)*Q86/Q78</f>
        <v>2187.7042260040857</v>
      </c>
      <c r="G87" s="5"/>
      <c r="H87" s="5">
        <f>ROUND(H86,2)</f>
        <v>150.34</v>
      </c>
      <c r="I87" s="5"/>
      <c r="J87" s="5"/>
      <c r="K87" s="5"/>
      <c r="L87" s="5"/>
      <c r="M87" s="5"/>
      <c r="N87" s="5">
        <v>1</v>
      </c>
      <c r="O87" s="36">
        <f>((B73+B83+E81)/3)*Q86/Q78</f>
        <v>1067.6101761599791</v>
      </c>
      <c r="P87" s="37">
        <f>(Q87/Q86)</f>
        <v>231.28661662277636</v>
      </c>
      <c r="Q87" s="2">
        <f>P73*Q78</f>
        <v>300.67260160960927</v>
      </c>
      <c r="R87" s="34">
        <f>(F82+P83)/2</f>
        <v>796.39676994653382</v>
      </c>
      <c r="S87" s="7"/>
      <c r="T87" s="21">
        <f>(T85+T86)</f>
        <v>-178.39113060605371</v>
      </c>
      <c r="U87" s="5"/>
      <c r="V87" s="12">
        <f>INT(V80)-V80+AG87</f>
        <v>0.53377165826146644</v>
      </c>
      <c r="W87" s="5"/>
      <c r="X87" s="21" t="s">
        <v>3</v>
      </c>
      <c r="Y87" s="5">
        <f>((AH87+U83+X81)/3)*AJ86/AJ78</f>
        <v>2155.3958387215735</v>
      </c>
      <c r="Z87" s="5"/>
      <c r="AA87" s="5">
        <f>ROUND(AA86,2)</f>
        <v>82.87</v>
      </c>
      <c r="AB87" s="5"/>
      <c r="AC87" s="5"/>
      <c r="AD87" s="5"/>
      <c r="AE87" s="5"/>
      <c r="AF87" s="5"/>
      <c r="AG87" s="5">
        <v>1</v>
      </c>
      <c r="AH87" s="36">
        <f>((U73+U83+X81)/3)*AJ86/AJ78</f>
        <v>1068.0382297824187</v>
      </c>
      <c r="AI87" s="37">
        <f>(AJ87/AJ86)</f>
        <v>236.7697918897756</v>
      </c>
      <c r="AJ87" s="2">
        <f>AI73*AJ78</f>
        <v>165.73885432284291</v>
      </c>
      <c r="AK87" s="34">
        <f>(Y82+AI83)/2</f>
        <v>797.46751240576157</v>
      </c>
      <c r="AL87" s="7"/>
    </row>
    <row r="88" spans="1:38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7"/>
      <c r="K88" s="7"/>
      <c r="L88" s="7"/>
      <c r="M88" s="7"/>
      <c r="N88" s="16"/>
      <c r="O88" s="16"/>
      <c r="P88" s="16" t="s">
        <v>4</v>
      </c>
      <c r="Q88" s="38" t="b">
        <f>IF(R88&gt;0,"M")</f>
        <v>0</v>
      </c>
      <c r="R88" s="38">
        <f>(R92*R90)</f>
        <v>-1</v>
      </c>
      <c r="S88" s="7"/>
      <c r="T88" s="16"/>
      <c r="U88" s="16"/>
      <c r="V88" s="16"/>
      <c r="W88" s="16"/>
      <c r="X88" s="16"/>
      <c r="Y88" s="16"/>
      <c r="Z88" s="16"/>
      <c r="AA88" s="16"/>
      <c r="AB88" s="16"/>
      <c r="AC88" s="7"/>
      <c r="AD88" s="7"/>
      <c r="AE88" s="7"/>
      <c r="AF88" s="7"/>
      <c r="AG88" s="16"/>
      <c r="AH88" s="16"/>
      <c r="AI88" s="16" t="s">
        <v>4</v>
      </c>
      <c r="AJ88" s="38" t="b">
        <f>IF(AK88&gt;0,"M")</f>
        <v>0</v>
      </c>
      <c r="AK88" s="38">
        <f>(AK92*AK90)</f>
        <v>-1</v>
      </c>
      <c r="AL88" s="7"/>
    </row>
    <row r="89" spans="1:38" ht="18.75" x14ac:dyDescent="0.3">
      <c r="A89" s="16"/>
      <c r="B89" s="16"/>
      <c r="C89" s="16"/>
      <c r="D89" s="16"/>
      <c r="E89" s="16"/>
      <c r="F89" s="16"/>
      <c r="G89" s="16"/>
      <c r="H89" s="16"/>
      <c r="I89" s="16"/>
      <c r="J89" s="7"/>
      <c r="K89" s="7"/>
      <c r="L89" s="7"/>
      <c r="M89" s="7"/>
      <c r="N89" s="16"/>
      <c r="O89" s="16"/>
      <c r="P89" s="16"/>
      <c r="Q89" s="39" t="str">
        <f>IF(R92+R93&lt;0,"-M")</f>
        <v>-M</v>
      </c>
      <c r="R89" s="38">
        <f>(R93*R91)</f>
        <v>-1</v>
      </c>
      <c r="S89" s="7"/>
      <c r="T89" s="16"/>
      <c r="U89" s="16"/>
      <c r="V89" s="16"/>
      <c r="W89" s="16"/>
      <c r="X89" s="16"/>
      <c r="Y89" s="16"/>
      <c r="Z89" s="16"/>
      <c r="AA89" s="16"/>
      <c r="AB89" s="16"/>
      <c r="AC89" s="7"/>
      <c r="AD89" s="7"/>
      <c r="AE89" s="7"/>
      <c r="AF89" s="7"/>
      <c r="AG89" s="16"/>
      <c r="AH89" s="16"/>
      <c r="AI89" s="16"/>
      <c r="AJ89" s="39" t="str">
        <f>IF(AK92+AK93&lt;0,"-M")</f>
        <v>-M</v>
      </c>
      <c r="AK89" s="38">
        <f>(AK93*AK91)</f>
        <v>-1</v>
      </c>
      <c r="AL89" s="7"/>
    </row>
    <row r="90" spans="1:38" ht="18.75" x14ac:dyDescent="0.3">
      <c r="A90" s="16"/>
      <c r="B90" s="16"/>
      <c r="C90" s="16"/>
      <c r="D90" s="16"/>
      <c r="E90" s="16"/>
      <c r="F90" s="16"/>
      <c r="G90" s="16"/>
      <c r="H90" s="16"/>
      <c r="I90" s="16"/>
      <c r="J90" s="7"/>
      <c r="K90" s="7"/>
      <c r="L90" s="7"/>
      <c r="M90" s="7"/>
      <c r="N90" s="16"/>
      <c r="O90" s="16"/>
      <c r="P90" s="16"/>
      <c r="Q90" s="39" t="b">
        <f>IF(R92+R93&gt;0,"+M")</f>
        <v>0</v>
      </c>
      <c r="R90" s="38">
        <f>(P92*O92*N92)</f>
        <v>1</v>
      </c>
      <c r="S90" s="7"/>
      <c r="T90" s="16"/>
      <c r="U90" s="16"/>
      <c r="V90" s="16"/>
      <c r="W90" s="16"/>
      <c r="X90" s="16"/>
      <c r="Y90" s="16"/>
      <c r="Z90" s="16"/>
      <c r="AA90" s="16"/>
      <c r="AB90" s="16"/>
      <c r="AC90" s="7"/>
      <c r="AD90" s="7"/>
      <c r="AE90" s="7"/>
      <c r="AF90" s="7"/>
      <c r="AG90" s="16"/>
      <c r="AH90" s="16"/>
      <c r="AI90" s="16"/>
      <c r="AJ90" s="39" t="b">
        <f>IF(AK92+AK93&gt;0,"+M")</f>
        <v>0</v>
      </c>
      <c r="AK90" s="38">
        <f>(AI92*AH92*AG92)</f>
        <v>1</v>
      </c>
      <c r="AL90" s="7"/>
    </row>
    <row r="91" spans="1:38" x14ac:dyDescent="0.25">
      <c r="A91" s="40"/>
      <c r="B91" s="16"/>
      <c r="C91" s="40" t="str">
        <f>IF(S93&lt;690," BS ")</f>
        <v xml:space="preserve"> BS </v>
      </c>
      <c r="D91" s="40" t="b">
        <f>IF(S93&gt;3444," MB ")</f>
        <v>0</v>
      </c>
      <c r="E91" s="41">
        <f>P125</f>
        <v>-1</v>
      </c>
      <c r="F91" s="41">
        <f>P100</f>
        <v>-1</v>
      </c>
      <c r="G91" s="42"/>
      <c r="H91" s="41">
        <f>P77</f>
        <v>1</v>
      </c>
      <c r="I91" s="16"/>
      <c r="J91" s="7"/>
      <c r="K91" s="7"/>
      <c r="L91" s="7"/>
      <c r="M91" s="7"/>
      <c r="N91" s="38" t="str">
        <f>IF((M93+M92)=0,"E")</f>
        <v>E</v>
      </c>
      <c r="O91" s="40">
        <f>IF(Q92&gt;0,-1,1)</f>
        <v>1</v>
      </c>
      <c r="P91" s="40">
        <f>IF(Q92&lt;0,1,-1)</f>
        <v>1</v>
      </c>
      <c r="Q91" s="16"/>
      <c r="R91" s="38">
        <f>(P93*O93*N93)</f>
        <v>1</v>
      </c>
      <c r="S91" s="7"/>
      <c r="T91" s="40"/>
      <c r="U91" s="16"/>
      <c r="V91" s="40" t="str">
        <f>IF(AL93&lt;690," BS ")</f>
        <v xml:space="preserve"> BS </v>
      </c>
      <c r="W91" s="40" t="b">
        <f>IF(AL93&gt;3444," MB ")</f>
        <v>0</v>
      </c>
      <c r="X91" s="41">
        <f>AI125</f>
        <v>-1</v>
      </c>
      <c r="Y91" s="41">
        <f>AI100</f>
        <v>-1</v>
      </c>
      <c r="Z91" s="42"/>
      <c r="AA91" s="41">
        <f>AI77</f>
        <v>1</v>
      </c>
      <c r="AB91" s="16"/>
      <c r="AC91" s="7"/>
      <c r="AD91" s="7"/>
      <c r="AE91" s="7"/>
      <c r="AF91" s="7"/>
      <c r="AG91" s="38" t="str">
        <f>IF((AF93+AF92)=0,"E")</f>
        <v>E</v>
      </c>
      <c r="AH91" s="40">
        <f>IF(AJ92&gt;0,-1,1)</f>
        <v>1</v>
      </c>
      <c r="AI91" s="40">
        <f>IF(AJ92&lt;0,1,-1)</f>
        <v>1</v>
      </c>
      <c r="AJ91" s="16"/>
      <c r="AK91" s="38">
        <f>(AI93*AH93*AG93)</f>
        <v>1</v>
      </c>
      <c r="AL91" s="7"/>
    </row>
    <row r="92" spans="1:38" x14ac:dyDescent="0.25">
      <c r="A92" s="16"/>
      <c r="B92" s="16"/>
      <c r="C92" s="40" t="b">
        <f>IF(S93&gt;690," AS ")</f>
        <v>0</v>
      </c>
      <c r="D92" s="16"/>
      <c r="E92" s="2">
        <f>P123</f>
        <v>1</v>
      </c>
      <c r="F92" s="2">
        <f>P98</f>
        <v>1</v>
      </c>
      <c r="G92" s="40"/>
      <c r="H92" s="2">
        <f>P75</f>
        <v>-1</v>
      </c>
      <c r="I92" s="16"/>
      <c r="J92" s="7"/>
      <c r="K92" s="7"/>
      <c r="L92" s="7"/>
      <c r="M92" s="43"/>
      <c r="N92" s="34">
        <f>O124</f>
        <v>-1</v>
      </c>
      <c r="O92" s="34">
        <f>O99</f>
        <v>-1</v>
      </c>
      <c r="P92" s="34">
        <f>(O77)</f>
        <v>1</v>
      </c>
      <c r="Q92" s="44">
        <f>(Q85+Q108+Q133)</f>
        <v>-496.44921191784977</v>
      </c>
      <c r="R92" s="45">
        <f>(P92+O92+N92)</f>
        <v>-1</v>
      </c>
      <c r="S92" s="46">
        <f>INT(R92)+R92</f>
        <v>-2</v>
      </c>
      <c r="T92" s="16"/>
      <c r="U92" s="16"/>
      <c r="V92" s="40" t="b">
        <f>IF(AL93&gt;690," AS ")</f>
        <v>0</v>
      </c>
      <c r="W92" s="16"/>
      <c r="X92" s="2">
        <f>AI123</f>
        <v>1</v>
      </c>
      <c r="Y92" s="2">
        <f>AI98</f>
        <v>1</v>
      </c>
      <c r="Z92" s="40"/>
      <c r="AA92" s="2">
        <f>AI75</f>
        <v>1</v>
      </c>
      <c r="AB92" s="16"/>
      <c r="AC92" s="7"/>
      <c r="AD92" s="7"/>
      <c r="AE92" s="7"/>
      <c r="AF92" s="43"/>
      <c r="AG92" s="34">
        <f>AH124</f>
        <v>-1</v>
      </c>
      <c r="AH92" s="34">
        <f>AH99</f>
        <v>-1</v>
      </c>
      <c r="AI92" s="34">
        <f>(AH77)</f>
        <v>1</v>
      </c>
      <c r="AJ92" s="44">
        <f>(AJ85+AJ108+AJ133)</f>
        <v>-271.17127437931322</v>
      </c>
      <c r="AK92" s="45">
        <f>(AI92+AH92+AG92)</f>
        <v>-1</v>
      </c>
      <c r="AL92" s="46">
        <f>INT(AK92)+AK92</f>
        <v>-2</v>
      </c>
    </row>
    <row r="93" spans="1:38" x14ac:dyDescent="0.25">
      <c r="A93" s="16"/>
      <c r="B93" s="16"/>
      <c r="C93" s="40" t="b">
        <f>IF(S93=0," F ")</f>
        <v>0</v>
      </c>
      <c r="D93" s="16"/>
      <c r="E93" s="2">
        <f>P126</f>
        <v>-1</v>
      </c>
      <c r="F93" s="2">
        <f>P101</f>
        <v>-1</v>
      </c>
      <c r="G93" s="40"/>
      <c r="H93" s="2">
        <f>P78</f>
        <v>-1</v>
      </c>
      <c r="I93" s="16"/>
      <c r="J93" s="7"/>
      <c r="K93" s="7"/>
      <c r="L93" s="7"/>
      <c r="M93" s="43"/>
      <c r="N93" s="34">
        <f>O125</f>
        <v>-1</v>
      </c>
      <c r="O93" s="34">
        <f>O100</f>
        <v>-1</v>
      </c>
      <c r="P93" s="34">
        <f>O76</f>
        <v>1</v>
      </c>
      <c r="Q93" s="40" t="b">
        <f>IF(Q92&gt;0,Q94)</f>
        <v>0</v>
      </c>
      <c r="R93" s="47">
        <f>(P93+O93+N93)</f>
        <v>-1</v>
      </c>
      <c r="S93" s="46">
        <f>(S92^8)</f>
        <v>256</v>
      </c>
      <c r="T93" s="16"/>
      <c r="U93" s="16"/>
      <c r="V93" s="40" t="b">
        <f>IF(AL93=0," F ")</f>
        <v>0</v>
      </c>
      <c r="W93" s="16"/>
      <c r="X93" s="2">
        <f>AI126</f>
        <v>-1</v>
      </c>
      <c r="Y93" s="2">
        <f>AI101</f>
        <v>-1</v>
      </c>
      <c r="Z93" s="40"/>
      <c r="AA93" s="2">
        <f>AI78</f>
        <v>1</v>
      </c>
      <c r="AB93" s="16"/>
      <c r="AC93" s="7"/>
      <c r="AD93" s="7"/>
      <c r="AE93" s="7"/>
      <c r="AF93" s="43"/>
      <c r="AG93" s="34">
        <f>AH125</f>
        <v>-1</v>
      </c>
      <c r="AH93" s="34">
        <f>AH100</f>
        <v>-1</v>
      </c>
      <c r="AI93" s="34">
        <f>AH76</f>
        <v>1</v>
      </c>
      <c r="AJ93" s="40" t="b">
        <f>IF(AJ92&gt;0,AJ94)</f>
        <v>0</v>
      </c>
      <c r="AK93" s="47">
        <f>(AI93+AH93+AG93)</f>
        <v>-1</v>
      </c>
      <c r="AL93" s="46">
        <f>(AL92^8)</f>
        <v>256</v>
      </c>
    </row>
    <row r="94" spans="1:38" x14ac:dyDescent="0.25">
      <c r="A94" s="16"/>
      <c r="B94" s="16"/>
      <c r="C94" s="40" t="b">
        <f>IF(S93&gt;1797," UB ")</f>
        <v>0</v>
      </c>
      <c r="D94" s="16"/>
      <c r="E94" s="48">
        <f>P124</f>
        <v>1</v>
      </c>
      <c r="F94" s="48">
        <f>P99</f>
        <v>1</v>
      </c>
      <c r="G94" s="49"/>
      <c r="H94" s="48">
        <f>P76</f>
        <v>1</v>
      </c>
      <c r="I94" s="16"/>
      <c r="J94" s="7"/>
      <c r="K94" s="7"/>
      <c r="L94" s="7"/>
      <c r="M94" s="7"/>
      <c r="N94" s="16"/>
      <c r="O94" s="16"/>
      <c r="P94" s="16"/>
      <c r="Q94" s="50">
        <f>-OR72+1</f>
        <v>1</v>
      </c>
      <c r="R94" s="38"/>
      <c r="S94" s="7"/>
      <c r="T94" s="16"/>
      <c r="U94" s="16"/>
      <c r="V94" s="40" t="b">
        <f>IF(AL93&gt;1797," UB ")</f>
        <v>0</v>
      </c>
      <c r="W94" s="16"/>
      <c r="X94" s="48">
        <f>AI124</f>
        <v>1</v>
      </c>
      <c r="Y94" s="48">
        <f>AI99</f>
        <v>1</v>
      </c>
      <c r="Z94" s="49"/>
      <c r="AA94" s="48">
        <f>AI76</f>
        <v>1</v>
      </c>
      <c r="AB94" s="16"/>
      <c r="AC94" s="7"/>
      <c r="AD94" s="7"/>
      <c r="AE94" s="7"/>
      <c r="AF94" s="7"/>
      <c r="AG94" s="16"/>
      <c r="AH94" s="16"/>
      <c r="AI94" s="16"/>
      <c r="AJ94" s="50">
        <f>-PK72+1</f>
        <v>1</v>
      </c>
      <c r="AK94" s="38"/>
      <c r="AL94" s="7"/>
    </row>
    <row r="95" spans="1:38" x14ac:dyDescent="0.25">
      <c r="A95" s="2">
        <f>P110</f>
        <v>225.35378683455247</v>
      </c>
      <c r="B95" s="4">
        <f>(A95*10^0.125)</f>
        <v>300.5141045630408</v>
      </c>
      <c r="C95" s="4">
        <f>INT(B95)</f>
        <v>300</v>
      </c>
      <c r="D95" s="4">
        <f>C95*4</f>
        <v>1200</v>
      </c>
      <c r="E95" s="4">
        <f>D95/5</f>
        <v>240</v>
      </c>
      <c r="F95" s="5">
        <f>E95^2</f>
        <v>57600</v>
      </c>
      <c r="G95" s="5">
        <f>(F95^0.125)</f>
        <v>3.9359793425308607</v>
      </c>
      <c r="H95" s="5">
        <f>G95/3</f>
        <v>1.3119931141769536</v>
      </c>
      <c r="I95" s="5">
        <f>(H95*100)</f>
        <v>131.19931141769536</v>
      </c>
      <c r="J95" s="5">
        <f>(F95/100)</f>
        <v>576</v>
      </c>
      <c r="K95" s="5">
        <f>(J95+I95)/2</f>
        <v>353.59965570884765</v>
      </c>
      <c r="L95" s="5">
        <f>(K95+I95)/2</f>
        <v>242.3994835632715</v>
      </c>
      <c r="M95" s="5">
        <f>(L95+A95)/2</f>
        <v>233.87663519891197</v>
      </c>
      <c r="N95" s="5">
        <f>M95*100^0.5</f>
        <v>2338.7663519891198</v>
      </c>
      <c r="O95" s="5">
        <f>INT(N95)/10</f>
        <v>233.8</v>
      </c>
      <c r="P95" s="5">
        <f>(O95)^2/10000</f>
        <v>5.4662440000000005</v>
      </c>
      <c r="Q95" s="5">
        <f>(P95+I95+M95)/3</f>
        <v>123.5140635388691</v>
      </c>
      <c r="R95" s="6">
        <f>Q100^0.5</f>
        <v>30.413005635566734</v>
      </c>
      <c r="S95" s="7"/>
      <c r="T95" s="2">
        <f>AI110</f>
        <v>224.61895811540123</v>
      </c>
      <c r="U95" s="4">
        <f>(T95*10^0.125)</f>
        <v>299.53419471708355</v>
      </c>
      <c r="V95" s="4">
        <f>INT(U95)</f>
        <v>299</v>
      </c>
      <c r="W95" s="4">
        <f>V95*4</f>
        <v>1196</v>
      </c>
      <c r="X95" s="4">
        <f>W95/5</f>
        <v>239.2</v>
      </c>
      <c r="Y95" s="5">
        <f>X95^2</f>
        <v>57216.639999999992</v>
      </c>
      <c r="Z95" s="5">
        <f>(Y95^0.125)</f>
        <v>3.9326952517764404</v>
      </c>
      <c r="AA95" s="5">
        <f>Z95/3</f>
        <v>1.3108984172588134</v>
      </c>
      <c r="AB95" s="5">
        <f>(AA95*100)</f>
        <v>131.08984172588134</v>
      </c>
      <c r="AC95" s="5">
        <f>(Y95/100)</f>
        <v>572.16639999999995</v>
      </c>
      <c r="AD95" s="5">
        <f>(AC95+AB95)/2</f>
        <v>351.62812086294065</v>
      </c>
      <c r="AE95" s="5">
        <f>(AD95+AB95)/2</f>
        <v>241.358981294411</v>
      </c>
      <c r="AF95" s="5">
        <f>(AE95+T95)/2</f>
        <v>232.98896970490611</v>
      </c>
      <c r="AG95" s="5">
        <f>AF95*100^0.5</f>
        <v>2329.8896970490609</v>
      </c>
      <c r="AH95" s="5">
        <f>INT(AG95)/10</f>
        <v>232.9</v>
      </c>
      <c r="AI95" s="5">
        <f>(AH95)^2/10000</f>
        <v>5.4242410000000003</v>
      </c>
      <c r="AJ95" s="5">
        <f>(AI95+AB95+AF95)/3</f>
        <v>123.16768414359581</v>
      </c>
      <c r="AK95" s="6">
        <f>AJ100^0.5</f>
        <v>30.413005635566734</v>
      </c>
      <c r="AL95" s="7"/>
    </row>
    <row r="96" spans="1:38" x14ac:dyDescent="0.25">
      <c r="A96" s="8">
        <f>(O97-O96)</f>
        <v>3.2244460156331058</v>
      </c>
      <c r="B96" s="4">
        <f>(B97+A98)/2</f>
        <v>218.69318694037588</v>
      </c>
      <c r="C96" s="9">
        <f>(D98*C98*B98*C97*D97*A96)</f>
        <v>4533924313910.082</v>
      </c>
      <c r="D96" s="4">
        <f>(C97*C96*A96)</f>
        <v>5562638018.4216433</v>
      </c>
      <c r="E96" s="8">
        <f>INT(A96+1)</f>
        <v>4</v>
      </c>
      <c r="F96" s="10">
        <f>(Q108*-1)</f>
        <v>36.998355763440038</v>
      </c>
      <c r="G96" s="11"/>
      <c r="H96" s="2">
        <f>IF(F96&lt;0,1,-1)</f>
        <v>-1</v>
      </c>
      <c r="I96" s="11"/>
      <c r="J96" s="11"/>
      <c r="K96" s="11"/>
      <c r="L96" s="11"/>
      <c r="M96" s="11"/>
      <c r="N96" s="11">
        <f>(M95+O95)/2</f>
        <v>233.83831759945599</v>
      </c>
      <c r="O96" s="11">
        <f>N96-A95</f>
        <v>8.4845307649035249</v>
      </c>
      <c r="P96" s="11">
        <f>(Q100+R98)/2</f>
        <v>912.47545589450692</v>
      </c>
      <c r="Q96" s="12">
        <f>(Q99*A96*100)</f>
        <v>153.71457225408122</v>
      </c>
      <c r="R96" s="6">
        <f>INT(R95)</f>
        <v>30</v>
      </c>
      <c r="S96" s="7"/>
      <c r="T96" s="8">
        <f>(AH97-AH96)</f>
        <v>3.388366307539286</v>
      </c>
      <c r="U96" s="4">
        <f>(U97+T98)/2</f>
        <v>217.91492001622083</v>
      </c>
      <c r="V96" s="9">
        <f>(W98*V98*U98*V97*W97*T96)</f>
        <v>7511105169560.5254</v>
      </c>
      <c r="W96" s="4">
        <f>(V97*V96*T96)</f>
        <v>8724434386.9822826</v>
      </c>
      <c r="X96" s="8">
        <f>INT(T96+1)</f>
        <v>4</v>
      </c>
      <c r="Y96" s="10">
        <f>(AJ108*-1)</f>
        <v>1.1024159150098667</v>
      </c>
      <c r="Z96" s="11"/>
      <c r="AA96" s="2">
        <f>IF(Y96&lt;0,1,-1)</f>
        <v>-1</v>
      </c>
      <c r="AB96" s="11"/>
      <c r="AC96" s="11"/>
      <c r="AD96" s="11"/>
      <c r="AE96" s="11"/>
      <c r="AF96" s="11"/>
      <c r="AG96" s="11">
        <f>(AF95+AH95)/2</f>
        <v>232.94448485245306</v>
      </c>
      <c r="AH96" s="11">
        <f>AG96-T95</f>
        <v>8.3255267370518311</v>
      </c>
      <c r="AI96" s="11">
        <f>(AJ100+AK98)/2</f>
        <v>912.47545589450692</v>
      </c>
      <c r="AJ96" s="12">
        <f>(AJ99*T96*100)</f>
        <v>37.627398700410183</v>
      </c>
      <c r="AK96" s="6">
        <f>INT(AK95)</f>
        <v>30</v>
      </c>
      <c r="AL96" s="7"/>
    </row>
    <row r="97" spans="1:38" x14ac:dyDescent="0.25">
      <c r="A97" s="8">
        <f>N96</f>
        <v>233.83831759945599</v>
      </c>
      <c r="B97" s="8">
        <f>(N96+N98)/2</f>
        <v>223.7415638267359</v>
      </c>
      <c r="C97" s="4">
        <f>(A96/D98)</f>
        <v>3.8049716331902767E-4</v>
      </c>
      <c r="D97" s="4">
        <f>(A96+B98+C98+D98)</f>
        <v>19579.959174575728</v>
      </c>
      <c r="E97" s="14">
        <f>(E96*C98)</f>
        <v>10512.561946871077</v>
      </c>
      <c r="F97" s="15"/>
      <c r="G97" s="11"/>
      <c r="H97" s="11"/>
      <c r="I97" s="11"/>
      <c r="J97" s="11"/>
      <c r="K97" s="11"/>
      <c r="L97" s="11"/>
      <c r="M97" s="11">
        <f>(N96+N98)/2</f>
        <v>223.7415638267359</v>
      </c>
      <c r="N97" s="11">
        <f>(I95+N96)/2</f>
        <v>182.51881450857567</v>
      </c>
      <c r="O97" s="11">
        <f>A95-N98</f>
        <v>11.708976780536631</v>
      </c>
      <c r="P97" s="11"/>
      <c r="Q97" s="5"/>
      <c r="R97" s="16"/>
      <c r="S97" s="7"/>
      <c r="T97" s="8">
        <f>AG96</f>
        <v>232.94448485245306</v>
      </c>
      <c r="U97" s="8">
        <f>(AG96+AG98)/2</f>
        <v>222.92477496163158</v>
      </c>
      <c r="V97" s="4">
        <f>(T96/W98)</f>
        <v>3.4280179175427591E-4</v>
      </c>
      <c r="W97" s="4">
        <f>(T96+U98+V98+W98)</f>
        <v>22689.187571969276</v>
      </c>
      <c r="X97" s="14">
        <f>(X96*V98)</f>
        <v>11668.550445813435</v>
      </c>
      <c r="Y97" s="15"/>
      <c r="Z97" s="11"/>
      <c r="AA97" s="11"/>
      <c r="AB97" s="11"/>
      <c r="AC97" s="11"/>
      <c r="AD97" s="11"/>
      <c r="AE97" s="11"/>
      <c r="AF97" s="11">
        <f>(AG96+AG98)/2</f>
        <v>222.92477496163158</v>
      </c>
      <c r="AG97" s="11">
        <f>(AB95+AG96)/2</f>
        <v>182.0171632891672</v>
      </c>
      <c r="AH97" s="11">
        <f>T95-AG98</f>
        <v>11.713893044591117</v>
      </c>
      <c r="AI97" s="11"/>
      <c r="AJ97" s="5"/>
      <c r="AK97" s="16"/>
      <c r="AL97" s="7"/>
    </row>
    <row r="98" spans="1:38" x14ac:dyDescent="0.25">
      <c r="A98" s="17">
        <f>N98</f>
        <v>213.64481005401584</v>
      </c>
      <c r="B98" s="4">
        <f>G104</f>
        <v>8474.2971209211628</v>
      </c>
      <c r="C98" s="4">
        <f>(B98/A96)</f>
        <v>2628.1404867177694</v>
      </c>
      <c r="D98" s="4">
        <f>(A96*C98)</f>
        <v>8474.2971209211628</v>
      </c>
      <c r="E98" s="8">
        <f>INT(A96)+1</f>
        <v>4</v>
      </c>
      <c r="F98" s="15">
        <f>(Q108)</f>
        <v>-36.998355763440038</v>
      </c>
      <c r="G98" s="11"/>
      <c r="H98" s="2">
        <f>IF(F96&gt;0,-1,1)</f>
        <v>-1</v>
      </c>
      <c r="I98" s="11"/>
      <c r="J98" s="11"/>
      <c r="K98" s="11"/>
      <c r="L98" s="11"/>
      <c r="M98" s="11">
        <f>(N97+P95*2)</f>
        <v>193.45130250857568</v>
      </c>
      <c r="N98" s="11">
        <f>(N96+M98)/2</f>
        <v>213.64481005401584</v>
      </c>
      <c r="O98" s="11">
        <f>(N97+J95)/2</f>
        <v>379.25940725428785</v>
      </c>
      <c r="P98" s="2">
        <f>IF(Q108&gt;1,-1,1)</f>
        <v>1</v>
      </c>
      <c r="Q98" s="12">
        <f>F106-F103</f>
        <v>-2.5843245640098997</v>
      </c>
      <c r="R98" s="6">
        <f>R96^2</f>
        <v>900</v>
      </c>
      <c r="S98" s="7"/>
      <c r="T98" s="17">
        <f>AG98</f>
        <v>212.90506507081011</v>
      </c>
      <c r="U98" s="4">
        <f>Z104</f>
        <v>9884.3307971041886</v>
      </c>
      <c r="V98" s="4">
        <f>(U98/T96)</f>
        <v>2917.1376114533587</v>
      </c>
      <c r="W98" s="4">
        <f>(T96*V98)</f>
        <v>9884.3307971041886</v>
      </c>
      <c r="X98" s="8">
        <f>INT(T96)+1</f>
        <v>4</v>
      </c>
      <c r="Y98" s="15">
        <f>(AJ108)</f>
        <v>-1.1024159150098667</v>
      </c>
      <c r="Z98" s="11"/>
      <c r="AA98" s="2">
        <f>IF(Y96&gt;0,-1,1)</f>
        <v>-1</v>
      </c>
      <c r="AB98" s="11"/>
      <c r="AC98" s="11"/>
      <c r="AD98" s="11"/>
      <c r="AE98" s="11"/>
      <c r="AF98" s="11">
        <f>(AG97+AI95*2)</f>
        <v>192.86564528916719</v>
      </c>
      <c r="AG98" s="11">
        <f>(AG96+AF98)/2</f>
        <v>212.90506507081011</v>
      </c>
      <c r="AH98" s="11">
        <f>(AG97+AC95)/2</f>
        <v>377.09178164458359</v>
      </c>
      <c r="AI98" s="2">
        <f>IF(AJ108&gt;1,-1,1)</f>
        <v>1</v>
      </c>
      <c r="AJ98" s="12">
        <f>Y106-Y103</f>
        <v>-2.8427568477534129</v>
      </c>
      <c r="AK98" s="6">
        <f>AK96^2</f>
        <v>900</v>
      </c>
      <c r="AL98" s="7"/>
    </row>
    <row r="99" spans="1:38" x14ac:dyDescent="0.25">
      <c r="A99" s="17">
        <f>(O97+O96)+A95</f>
        <v>245.54729437999262</v>
      </c>
      <c r="B99" s="4">
        <f>(A97+B97)/2</f>
        <v>228.78994071309594</v>
      </c>
      <c r="C99" s="8">
        <f>(C97)</f>
        <v>3.8049716331902767E-4</v>
      </c>
      <c r="D99" s="4">
        <f>(D96*D97*D98*B98*A96)</f>
        <v>2.5220579761202489E+22</v>
      </c>
      <c r="E99" s="4">
        <f>(C99*A96)</f>
        <v>1.2268925622237379E-3</v>
      </c>
      <c r="F99" s="11">
        <f>(F101/O101)*O102-F102</f>
        <v>-35.208133689498709</v>
      </c>
      <c r="G99" s="11"/>
      <c r="H99" s="11"/>
      <c r="I99" s="11"/>
      <c r="J99" s="11"/>
      <c r="K99" s="11"/>
      <c r="L99" s="11"/>
      <c r="M99" s="11"/>
      <c r="N99" s="4">
        <f>(F99+Q108)*F102</f>
        <v>-2671.5213852089082</v>
      </c>
      <c r="O99" s="2">
        <f>H98</f>
        <v>-1</v>
      </c>
      <c r="P99" s="2">
        <f>IF(Q108&lt;100,1,-1)</f>
        <v>1</v>
      </c>
      <c r="Q99" s="12">
        <f>Q98+F106</f>
        <v>0.47671622197681618</v>
      </c>
      <c r="R99" s="16"/>
      <c r="S99" s="7"/>
      <c r="T99" s="17">
        <f>(AH97+AH96)+T95</f>
        <v>244.65837789704418</v>
      </c>
      <c r="U99" s="4">
        <f>(T97+U97)/2</f>
        <v>227.93462990704234</v>
      </c>
      <c r="V99" s="8">
        <f>(V97)</f>
        <v>3.4280179175427591E-4</v>
      </c>
      <c r="W99" s="4">
        <f>(W96*W97*W98*U98*T96)</f>
        <v>6.5530144225554229E+22</v>
      </c>
      <c r="X99" s="4">
        <f>(V99*T96)</f>
        <v>1.1615380413442871E-3</v>
      </c>
      <c r="Y99" s="11">
        <f>(Y101/AH101)*AH102-Y102</f>
        <v>-4.1641047024043587E-4</v>
      </c>
      <c r="Z99" s="11"/>
      <c r="AA99" s="11"/>
      <c r="AB99" s="11"/>
      <c r="AC99" s="11"/>
      <c r="AD99" s="11"/>
      <c r="AE99" s="11"/>
      <c r="AF99" s="11"/>
      <c r="AG99" s="4">
        <f>(Y99+AJ108)*Y102</f>
        <v>-1.2157799071966113</v>
      </c>
      <c r="AH99" s="2">
        <f>AA98</f>
        <v>-1</v>
      </c>
      <c r="AI99" s="2">
        <f>IF(AJ108&lt;100,1,-1)</f>
        <v>1</v>
      </c>
      <c r="AJ99" s="12">
        <f>AJ98+Y106</f>
        <v>0.11104879250123378</v>
      </c>
      <c r="AK99" s="16"/>
      <c r="AL99" s="7"/>
    </row>
    <row r="100" spans="1:38" x14ac:dyDescent="0.25">
      <c r="A100" s="17">
        <f>(O97*-1-O96)+A95</f>
        <v>205.16027928911231</v>
      </c>
      <c r="B100" s="4">
        <f>(B97+B96)/2</f>
        <v>221.21737538355589</v>
      </c>
      <c r="C100" s="4">
        <f>(B96+A98)/2</f>
        <v>216.16899849719584</v>
      </c>
      <c r="D100" s="4">
        <f>D96</f>
        <v>5562638018.4216433</v>
      </c>
      <c r="E100" s="4">
        <f>(B97+A95)/2</f>
        <v>224.54767533064418</v>
      </c>
      <c r="F100" s="11">
        <f>(F102/O102)</f>
        <v>27.95077405436443</v>
      </c>
      <c r="G100" s="11"/>
      <c r="H100" s="11"/>
      <c r="I100" s="11"/>
      <c r="J100" s="11"/>
      <c r="K100" s="11"/>
      <c r="L100" s="11"/>
      <c r="M100" s="11"/>
      <c r="N100" s="11"/>
      <c r="O100" s="2">
        <f>H96</f>
        <v>-1</v>
      </c>
      <c r="P100" s="2">
        <f>IF(Q108&lt;0,-1,1)</f>
        <v>-1</v>
      </c>
      <c r="Q100" s="15">
        <f>Q77</f>
        <v>924.95091178901396</v>
      </c>
      <c r="R100" s="16"/>
      <c r="S100" s="7"/>
      <c r="T100" s="17">
        <f>(AH97*-1-AH96)+T95</f>
        <v>204.57953833375828</v>
      </c>
      <c r="U100" s="4">
        <f>(U97+U96)/2</f>
        <v>220.41984748892622</v>
      </c>
      <c r="V100" s="4">
        <f>(U96+T98)/2</f>
        <v>215.40999254351547</v>
      </c>
      <c r="W100" s="4">
        <f>W96</f>
        <v>8724434386.9822826</v>
      </c>
      <c r="X100" s="4">
        <f>(U97+T95)/2</f>
        <v>223.77186653851641</v>
      </c>
      <c r="Y100" s="11">
        <f>(Y102/AH102)</f>
        <v>1.5107568818475625</v>
      </c>
      <c r="Z100" s="11"/>
      <c r="AA100" s="11"/>
      <c r="AB100" s="11"/>
      <c r="AC100" s="11"/>
      <c r="AD100" s="11"/>
      <c r="AE100" s="11"/>
      <c r="AF100" s="11"/>
      <c r="AG100" s="11"/>
      <c r="AH100" s="2">
        <f>AA96</f>
        <v>-1</v>
      </c>
      <c r="AI100" s="2">
        <f>IF(AJ108&lt;0,-1,1)</f>
        <v>-1</v>
      </c>
      <c r="AJ100" s="15">
        <f>AJ77</f>
        <v>924.95091178901396</v>
      </c>
      <c r="AK100" s="16"/>
      <c r="AL100" s="7"/>
    </row>
    <row r="101" spans="1:38" x14ac:dyDescent="0.25">
      <c r="A101" s="8">
        <f>(A100-A99)+A95-A97</f>
        <v>-48.871545855783836</v>
      </c>
      <c r="B101" s="8">
        <f>(A101*-1)+A102</f>
        <v>20.193507545440156</v>
      </c>
      <c r="C101" s="8">
        <f>(B101/2)+A96</f>
        <v>13.321199788353184</v>
      </c>
      <c r="D101" s="8">
        <f>(C109+C102+B108+B101+A96)*-1</f>
        <v>7.6702752714486024</v>
      </c>
      <c r="E101" s="8">
        <f>(C101*A96)*D101</f>
        <v>329.46508895563079</v>
      </c>
      <c r="F101" s="2">
        <f>(E101*A96)</f>
        <v>1062.3423933731906</v>
      </c>
      <c r="G101" s="2">
        <f>(F101+E101)</f>
        <v>1391.8074823288214</v>
      </c>
      <c r="H101" s="11"/>
      <c r="I101" s="11"/>
      <c r="J101" s="11"/>
      <c r="K101" s="11"/>
      <c r="L101" s="11"/>
      <c r="M101" s="11"/>
      <c r="N101" s="11"/>
      <c r="O101" s="11">
        <v>785.5</v>
      </c>
      <c r="P101" s="2">
        <f>IF(N99&gt;-1,1,-1)</f>
        <v>-1</v>
      </c>
      <c r="Q101" s="5">
        <f>Q78</f>
        <v>0.32600000000000001</v>
      </c>
      <c r="R101" s="16"/>
      <c r="S101" s="7"/>
      <c r="T101" s="8">
        <f>(T100-T99)+T95-T97</f>
        <v>-48.404366300337728</v>
      </c>
      <c r="U101" s="8">
        <f>(T101*-1)+T102</f>
        <v>20.039419781642948</v>
      </c>
      <c r="V101" s="8">
        <f>(U101/2)+T96</f>
        <v>13.40807619836076</v>
      </c>
      <c r="W101" s="8">
        <f>(V109+V102+U108+U101+T96)*-1</f>
        <v>7.7060090882625261</v>
      </c>
      <c r="X101" s="8">
        <f>(V101*T96)*W101</f>
        <v>350.09534875872282</v>
      </c>
      <c r="Y101" s="2">
        <f>(X101*T96)</f>
        <v>1186.2512841602722</v>
      </c>
      <c r="Z101" s="2">
        <f>(Y101+X101)</f>
        <v>1536.3466329189951</v>
      </c>
      <c r="AA101" s="11"/>
      <c r="AB101" s="11"/>
      <c r="AC101" s="11"/>
      <c r="AD101" s="11"/>
      <c r="AE101" s="11"/>
      <c r="AF101" s="11"/>
      <c r="AG101" s="11"/>
      <c r="AH101" s="11">
        <v>785.5</v>
      </c>
      <c r="AI101" s="2">
        <f>IF(AG99&gt;-1,1,-1)</f>
        <v>-1</v>
      </c>
      <c r="AJ101" s="5">
        <f>AJ78</f>
        <v>0.1797</v>
      </c>
      <c r="AK101" s="16"/>
      <c r="AL101" s="7"/>
    </row>
    <row r="102" spans="1:38" x14ac:dyDescent="0.25">
      <c r="A102" s="8">
        <f>(A100-A99)+A95-A98</f>
        <v>-28.67803831034368</v>
      </c>
      <c r="B102" s="8">
        <f>A103+(A102*-1)+A101</f>
        <v>-97.743091711567672</v>
      </c>
      <c r="C102" s="4">
        <f>(B102/10)</f>
        <v>-9.7743091711567676</v>
      </c>
      <c r="D102" s="4"/>
      <c r="E102" s="4"/>
      <c r="F102" s="11">
        <f>(Q108*-1)</f>
        <v>36.998355763440038</v>
      </c>
      <c r="G102" s="11"/>
      <c r="H102" s="11"/>
      <c r="I102" s="11"/>
      <c r="J102" s="11"/>
      <c r="K102" s="11"/>
      <c r="L102" s="11"/>
      <c r="M102" s="11"/>
      <c r="N102" s="11"/>
      <c r="O102" s="11">
        <f>(H110/1000)*8.9</f>
        <v>1.3236970000000001</v>
      </c>
      <c r="P102" s="2">
        <f>(P104+O106)/2</f>
        <v>890.61647587053665</v>
      </c>
      <c r="Q102" s="5">
        <f>H110/(Q109*1000)</f>
        <v>0.11267424242424241</v>
      </c>
      <c r="R102" s="16"/>
      <c r="S102" s="7"/>
      <c r="T102" s="8">
        <f>(T100-T99)+T95-T98</f>
        <v>-28.364946518694779</v>
      </c>
      <c r="U102" s="8">
        <f>T103+(T102*-1)+T101</f>
        <v>-96.808732600675455</v>
      </c>
      <c r="V102" s="4">
        <f>(U102/10)</f>
        <v>-9.6808732600675462</v>
      </c>
      <c r="W102" s="4"/>
      <c r="X102" s="4"/>
      <c r="Y102" s="11">
        <f>(AJ108*-1)</f>
        <v>1.1024159150098667</v>
      </c>
      <c r="Z102" s="11"/>
      <c r="AA102" s="11"/>
      <c r="AB102" s="11"/>
      <c r="AC102" s="11"/>
      <c r="AD102" s="11"/>
      <c r="AE102" s="11"/>
      <c r="AF102" s="11"/>
      <c r="AG102" s="11"/>
      <c r="AH102" s="11">
        <f>(AA110/1000)*8.9</f>
        <v>0.729711</v>
      </c>
      <c r="AI102" s="2">
        <f>(AI104+AH106)/2</f>
        <v>890.32938307945847</v>
      </c>
      <c r="AJ102" s="5">
        <f>AA110/(AJ109*1000)</f>
        <v>0.11231506849315068</v>
      </c>
      <c r="AK102" s="16"/>
      <c r="AL102" s="7"/>
    </row>
    <row r="103" spans="1:38" x14ac:dyDescent="0.25">
      <c r="A103" s="8">
        <f>(A102+A101)</f>
        <v>-77.549584166127516</v>
      </c>
      <c r="B103" s="4"/>
      <c r="C103" s="4">
        <f>((F103+E103*-1)+E107)*10-A96+O103*-1-C99*111</f>
        <v>10.574500548763591</v>
      </c>
      <c r="D103" s="4"/>
      <c r="E103" s="4">
        <f>(E107+O103+F103)</f>
        <v>-9.9464137183336909E-2</v>
      </c>
      <c r="F103" s="11">
        <f>(O103*E107)</f>
        <v>5.6453653499966157</v>
      </c>
      <c r="G103" s="11"/>
      <c r="H103" s="21">
        <f>(P104+H104)/2</f>
        <v>679.70838051033854</v>
      </c>
      <c r="I103" s="11"/>
      <c r="J103" s="11"/>
      <c r="K103" s="11"/>
      <c r="L103" s="11"/>
      <c r="M103" s="11"/>
      <c r="N103" s="11">
        <f>(A99-A95)-(A95-B100)</f>
        <v>16.05709609444358</v>
      </c>
      <c r="O103" s="2">
        <f>(P103+A96+C99*10)</f>
        <v>-1.2582892499568283</v>
      </c>
      <c r="P103" s="11">
        <f>E107</f>
        <v>-4.4865402372231244</v>
      </c>
      <c r="Q103" s="12">
        <f>(Q99*Q98*10)</f>
        <v>-12.319894425166819</v>
      </c>
      <c r="R103" s="16"/>
      <c r="S103" s="7"/>
      <c r="T103" s="8">
        <f>(T102+T101)</f>
        <v>-76.769312819032507</v>
      </c>
      <c r="U103" s="4"/>
      <c r="V103" s="4">
        <f>((Y103+X103*-1)+X107)*10-T96+AH103*-1-V99*111</f>
        <v>10.312975596362666</v>
      </c>
      <c r="W103" s="4"/>
      <c r="X103" s="4">
        <f>(X107+AH103+Y103)</f>
        <v>-9.3303274319073815E-2</v>
      </c>
      <c r="Y103" s="11">
        <f>(AH103*X107)</f>
        <v>5.7965624880080595</v>
      </c>
      <c r="Z103" s="11"/>
      <c r="AA103" s="21">
        <f>(AI104+AA104)/2</f>
        <v>679.44261433905422</v>
      </c>
      <c r="AB103" s="11"/>
      <c r="AC103" s="11"/>
      <c r="AD103" s="11"/>
      <c r="AE103" s="11"/>
      <c r="AF103" s="11"/>
      <c r="AG103" s="11">
        <f>(T99-T95)-(T95-U100)</f>
        <v>15.840309155167944</v>
      </c>
      <c r="AH103" s="2">
        <f>(AI103+T96+V99*10)</f>
        <v>-1.2490357184351522</v>
      </c>
      <c r="AI103" s="11">
        <f>X107</f>
        <v>-4.6408300438919809</v>
      </c>
      <c r="AJ103" s="12">
        <f>(AJ99*AJ98*10)</f>
        <v>-3.1568471531763018</v>
      </c>
      <c r="AK103" s="16"/>
      <c r="AL103" s="7"/>
    </row>
    <row r="104" spans="1:38" x14ac:dyDescent="0.25">
      <c r="A104" s="8">
        <f>(A95+A103)</f>
        <v>147.80420266842495</v>
      </c>
      <c r="B104" s="4">
        <f>(A95+A104)/2</f>
        <v>186.57899475148872</v>
      </c>
      <c r="C104" s="4">
        <f>(E100-A95)-(A95-B104)</f>
        <v>-39.580903586972028</v>
      </c>
      <c r="D104" s="8">
        <f>(B100+C100)/2</f>
        <v>218.69318694037588</v>
      </c>
      <c r="E104" s="8">
        <f>(A99+A105)</f>
        <v>451.51368517301319</v>
      </c>
      <c r="F104" s="21">
        <f>(G101*2)-G108</f>
        <v>2628.1404867177694</v>
      </c>
      <c r="G104" s="21">
        <f>(A96*F104)</f>
        <v>8474.2971209211628</v>
      </c>
      <c r="H104" s="21">
        <f>(N106+P104)/2</f>
        <v>453.46932466702253</v>
      </c>
      <c r="I104" s="21"/>
      <c r="J104" s="21"/>
      <c r="K104" s="21"/>
      <c r="L104" s="21"/>
      <c r="M104" s="21"/>
      <c r="N104" s="21">
        <f>(O104+O105)/2</f>
        <v>919.53923919885938</v>
      </c>
      <c r="O104" s="2">
        <f>(A98+C100)/2*Q109/Q101</f>
        <v>870.17519522637951</v>
      </c>
      <c r="P104" s="2">
        <f>B97*Q109/Q101</f>
        <v>905.94743635365455</v>
      </c>
      <c r="Q104" s="5">
        <f>(A100+B97)/2</f>
        <v>214.45092155792412</v>
      </c>
      <c r="R104" s="16"/>
      <c r="S104" s="7"/>
      <c r="T104" s="8">
        <f>(T95+T103)</f>
        <v>147.84964529636872</v>
      </c>
      <c r="U104" s="4">
        <f>(T95+T104)/2</f>
        <v>186.23430170588497</v>
      </c>
      <c r="V104" s="4">
        <f>(X100-T95)-(T95-U104)</f>
        <v>-39.231747986401075</v>
      </c>
      <c r="W104" s="8">
        <f>(U100+V100)/2</f>
        <v>217.91492001622083</v>
      </c>
      <c r="X104" s="8">
        <f>(T99+T105)</f>
        <v>450.08500780768725</v>
      </c>
      <c r="Y104" s="21">
        <f>(Z101*2)-Z108</f>
        <v>2917.1376114533587</v>
      </c>
      <c r="Z104" s="21">
        <f>(T96*Y104)</f>
        <v>9884.3307971041886</v>
      </c>
      <c r="AA104" s="21">
        <f>(AG106+AI104)/2</f>
        <v>453.29209722573751</v>
      </c>
      <c r="AB104" s="21"/>
      <c r="AC104" s="21"/>
      <c r="AD104" s="21"/>
      <c r="AE104" s="21"/>
      <c r="AF104" s="21"/>
      <c r="AG104" s="21">
        <f>(AH104+AH105)/2</f>
        <v>919.17321231839833</v>
      </c>
      <c r="AH104" s="2">
        <f>(T98+V100)/2*AJ109/AJ101</f>
        <v>869.97771858224178</v>
      </c>
      <c r="AI104" s="2">
        <f>U97*AJ109/AJ101</f>
        <v>905.59313145237093</v>
      </c>
      <c r="AJ104" s="5">
        <f>(T100+U97)/2</f>
        <v>213.75215664769493</v>
      </c>
      <c r="AK104" s="16"/>
      <c r="AL104" s="7"/>
    </row>
    <row r="105" spans="1:38" x14ac:dyDescent="0.25">
      <c r="A105" s="8">
        <f>((A100+A99+A98+A97)/4-A100-A95)*-1</f>
        <v>205.96639079302059</v>
      </c>
      <c r="B105" s="4">
        <f>(B100+C100)/2</f>
        <v>218.69318694037588</v>
      </c>
      <c r="C105" s="4">
        <f>(E107+A96)</f>
        <v>-1.2620942215900186</v>
      </c>
      <c r="D105" s="8">
        <f>(A107+D106+A99+D106)/2</f>
        <v>380.76910650213409</v>
      </c>
      <c r="E105" s="8">
        <f>(A100+D106+A99)/3</f>
        <v>201.97378848690315</v>
      </c>
      <c r="F105" s="21">
        <f>(O105+P104)/2</f>
        <v>937.42535976249701</v>
      </c>
      <c r="G105" s="5"/>
      <c r="H105" s="21">
        <f>(O105+P104+N104)/3</f>
        <v>931.4633195746178</v>
      </c>
      <c r="I105" s="21"/>
      <c r="J105" s="21"/>
      <c r="K105" s="21"/>
      <c r="L105" s="21"/>
      <c r="M105" s="21"/>
      <c r="N105" s="21">
        <f>((A105+A99)/2)*Q109/Q101</f>
        <v>914.10746077971999</v>
      </c>
      <c r="O105" s="2">
        <f>((A106+A97)/2)*Q109/Q101</f>
        <v>968.90328317133935</v>
      </c>
      <c r="P105" s="2">
        <f>B96*Q109/Q101</f>
        <v>885.50615570949742</v>
      </c>
      <c r="Q105" s="12">
        <f>A96+E107</f>
        <v>-1.2620942215900186</v>
      </c>
      <c r="R105" s="16"/>
      <c r="S105" s="7"/>
      <c r="T105" s="8">
        <f>((T100+T99+T98+T97)/4-T100-T95)*-1</f>
        <v>205.4266299106431</v>
      </c>
      <c r="U105" s="4">
        <f>(U100+V100)/2</f>
        <v>217.91492001622083</v>
      </c>
      <c r="V105" s="4">
        <f>(X107+T96)</f>
        <v>-1.2524637363526949</v>
      </c>
      <c r="W105" s="8">
        <f>(T107+W106+T99+W106)/2</f>
        <v>379.74361857223158</v>
      </c>
      <c r="X105" s="8">
        <f>(T100+W106+T99)/3</f>
        <v>201.38360126447057</v>
      </c>
      <c r="Y105" s="21">
        <f>(AH105+AI104)/2</f>
        <v>936.9809187534629</v>
      </c>
      <c r="Z105" s="5"/>
      <c r="AA105" s="21">
        <f>(AH105+AI104+AG104)/3</f>
        <v>931.04501660844141</v>
      </c>
      <c r="AB105" s="21"/>
      <c r="AC105" s="21"/>
      <c r="AD105" s="21"/>
      <c r="AE105" s="21"/>
      <c r="AF105" s="21"/>
      <c r="AG105" s="21">
        <f>((T105+T99)/2)*AJ109/AJ101</f>
        <v>914.19603700504081</v>
      </c>
      <c r="AH105" s="2">
        <f>((T106+T97)/2)*AJ109/AJ101</f>
        <v>968.36870605455488</v>
      </c>
      <c r="AI105" s="2">
        <f>U96*AJ109/AJ101</f>
        <v>885.24146695515424</v>
      </c>
      <c r="AJ105" s="12">
        <f>T96+X107</f>
        <v>-1.2524637363526949</v>
      </c>
      <c r="AK105" s="16"/>
      <c r="AL105" s="7"/>
    </row>
    <row r="106" spans="1:38" x14ac:dyDescent="0.25">
      <c r="A106" s="8">
        <f>((A100+A99+A98+A97)/4-A100-A95*-1)</f>
        <v>244.74118287608434</v>
      </c>
      <c r="B106" s="4">
        <f>B97/2</f>
        <v>111.87078191336795</v>
      </c>
      <c r="C106" s="4">
        <f>(B96+C100)/2</f>
        <v>217.43109271878586</v>
      </c>
      <c r="D106" s="8">
        <f>(A105+A104+B106)/3</f>
        <v>155.21379179160451</v>
      </c>
      <c r="E106" s="8">
        <f>(A100+A99+B106)/3</f>
        <v>187.52611852749098</v>
      </c>
      <c r="F106" s="5">
        <f>E103+(C110*-1)-E103-E107</f>
        <v>3.0610407859867159</v>
      </c>
      <c r="G106" s="5"/>
      <c r="H106" s="21">
        <f>(P106+N106)/2</f>
        <v>318.19103051500957</v>
      </c>
      <c r="I106" s="5"/>
      <c r="J106" s="5"/>
      <c r="K106" s="5"/>
      <c r="L106" s="5"/>
      <c r="M106" s="5"/>
      <c r="N106" s="21">
        <f>((N105+N104)/2/Q100)</f>
        <v>0.99121298039048988</v>
      </c>
      <c r="O106" s="2">
        <f>((A98+D104)/2)*Q109/Q101</f>
        <v>875.28551538741874</v>
      </c>
      <c r="P106" s="2">
        <f>((B106+E105)/2)*Q109/Q101</f>
        <v>635.39084804962863</v>
      </c>
      <c r="Q106" s="12">
        <f>(Q105*Q103/10)</f>
        <v>1.5548867564602127</v>
      </c>
      <c r="R106" s="16"/>
      <c r="S106" s="7"/>
      <c r="T106" s="8">
        <f>((T100+T99+T98+T97)/4-T100-T95*-1)</f>
        <v>243.81128632015935</v>
      </c>
      <c r="U106" s="4">
        <f>U97/2</f>
        <v>111.46238748081579</v>
      </c>
      <c r="V106" s="4">
        <f>(U96+V100)/2</f>
        <v>216.66245627986814</v>
      </c>
      <c r="W106" s="8">
        <f>(T105+T104+U106)/3</f>
        <v>154.9128875626092</v>
      </c>
      <c r="X106" s="8">
        <f>(T100+T99+U106)/3</f>
        <v>186.90010123720609</v>
      </c>
      <c r="Y106" s="5">
        <f>X103+(V110*-1)-X103-X107</f>
        <v>2.9538056402546466</v>
      </c>
      <c r="Z106" s="5"/>
      <c r="AA106" s="21">
        <f>(AI106+AG106)/2</f>
        <v>318.21613776563311</v>
      </c>
      <c r="AB106" s="5"/>
      <c r="AC106" s="5"/>
      <c r="AD106" s="5"/>
      <c r="AE106" s="5"/>
      <c r="AF106" s="5"/>
      <c r="AG106" s="21">
        <f>((AG105+AG104)/2/AJ100)</f>
        <v>0.99106299910412976</v>
      </c>
      <c r="AH106" s="2">
        <f>((T98+W104)/2)*AJ109/AJ101</f>
        <v>875.06563470654589</v>
      </c>
      <c r="AI106" s="2">
        <f>((U106+X105)/2)*AJ109/AJ101</f>
        <v>635.44121253216213</v>
      </c>
      <c r="AJ106" s="12">
        <f>(AJ105*AJ103/10)</f>
        <v>0.39538365805615594</v>
      </c>
      <c r="AK106" s="16"/>
      <c r="AL106" s="7"/>
    </row>
    <row r="107" spans="1:38" x14ac:dyDescent="0.25">
      <c r="A107" s="8">
        <f>(A100+A105)/2</f>
        <v>205.56333504106647</v>
      </c>
      <c r="B107" s="4">
        <f>(A97+B99)/2</f>
        <v>231.31412915627595</v>
      </c>
      <c r="C107" s="4">
        <f>(A96*C99)</f>
        <v>1.2268925622237379E-3</v>
      </c>
      <c r="D107" s="4">
        <f>(A97+B107)/2</f>
        <v>232.57622337786597</v>
      </c>
      <c r="E107" s="4">
        <f>(D107-A95)-(A95-A98)</f>
        <v>-4.4865402372231244</v>
      </c>
      <c r="F107" s="21">
        <f>(N107+H107)/2</f>
        <v>950.50200863369844</v>
      </c>
      <c r="G107" s="5"/>
      <c r="H107" s="31">
        <f>A106*Q109/Q101</f>
        <v>990.97656870070955</v>
      </c>
      <c r="I107" s="5"/>
      <c r="J107" s="5"/>
      <c r="K107" s="5"/>
      <c r="L107" s="5"/>
      <c r="M107" s="5"/>
      <c r="N107" s="21">
        <f>(N105+P104)/2</f>
        <v>910.02744856668733</v>
      </c>
      <c r="O107" s="2">
        <f>((E104+A104)/2)*Q109/Q101</f>
        <v>1213.3429631145682</v>
      </c>
      <c r="P107" s="2">
        <f>((E105+E107/10)/2)*Q109/Q101</f>
        <v>407.99567099907779</v>
      </c>
      <c r="Q107" s="8">
        <f>(Q106+C110)</f>
        <v>2.980386207696621</v>
      </c>
      <c r="R107" s="16"/>
      <c r="S107" s="7"/>
      <c r="T107" s="8">
        <f>(T100+T105)/2</f>
        <v>205.00308412220068</v>
      </c>
      <c r="U107" s="4">
        <f>(T97+U99)/2</f>
        <v>230.4395573797477</v>
      </c>
      <c r="V107" s="4">
        <f>(T96*V99)</f>
        <v>1.1615380413442871E-3</v>
      </c>
      <c r="W107" s="4">
        <f>(T97+U107)/2</f>
        <v>231.69202111610036</v>
      </c>
      <c r="X107" s="4">
        <f>(W107-T95)-(T95-T98)</f>
        <v>-4.6408300438919809</v>
      </c>
      <c r="Y107" s="21">
        <f>(AG107+AA107)/2</f>
        <v>950.16776794550583</v>
      </c>
      <c r="Z107" s="5"/>
      <c r="AA107" s="31">
        <f>T106*AJ109/AJ101</f>
        <v>990.44095166230568</v>
      </c>
      <c r="AB107" s="5"/>
      <c r="AC107" s="5"/>
      <c r="AD107" s="5"/>
      <c r="AE107" s="5"/>
      <c r="AF107" s="5"/>
      <c r="AG107" s="21">
        <f>(AG105+AI104)/2</f>
        <v>909.89458422870587</v>
      </c>
      <c r="AH107" s="2">
        <f>((X104+T104)/2)*AJ109/AJ101</f>
        <v>1214.502773416697</v>
      </c>
      <c r="AI107" s="2">
        <f>((X105+X107/10)/2)*AJ109/AJ101</f>
        <v>408.10030141864053</v>
      </c>
      <c r="AJ107" s="8">
        <f>(AJ106+V110)</f>
        <v>2.0824080616934904</v>
      </c>
      <c r="AK107" s="16"/>
      <c r="AL107" s="7"/>
    </row>
    <row r="108" spans="1:38" x14ac:dyDescent="0.25">
      <c r="A108" s="8">
        <f>(A96*-1)+A103</f>
        <v>-80.774030181760622</v>
      </c>
      <c r="B108" s="8">
        <f>(A109*-1)+A108</f>
        <v>-6.4488920312662117</v>
      </c>
      <c r="C108" s="8">
        <f>(B108/2)+A96</f>
        <v>0</v>
      </c>
      <c r="D108" s="4"/>
      <c r="E108" s="8">
        <f>(C108*A96)+D101</f>
        <v>7.6702752714486024</v>
      </c>
      <c r="F108" s="21">
        <f>A104*Q109/Q109</f>
        <v>147.80420266842495</v>
      </c>
      <c r="G108" s="21">
        <f>(E108+F108)</f>
        <v>155.47447793987357</v>
      </c>
      <c r="H108" s="5">
        <f>(O109+H106)/2</f>
        <v>1073.2029760372247</v>
      </c>
      <c r="I108" s="5"/>
      <c r="J108" s="5"/>
      <c r="K108" s="5"/>
      <c r="L108" s="5"/>
      <c r="M108" s="5"/>
      <c r="N108" s="21">
        <f>(O105+H105+O105)/3</f>
        <v>956.42329530576546</v>
      </c>
      <c r="O108" s="2">
        <f>((B99+E107)/2)*Q109/Q101</f>
        <v>454.11117887753392</v>
      </c>
      <c r="P108" s="2">
        <f>D104*Q109/Q101</f>
        <v>885.50615570949742</v>
      </c>
      <c r="Q108" s="44">
        <f>((Q107*Q106*C110*-1)*Q109*Q98*Q99)*-3.444</f>
        <v>-36.998355763440038</v>
      </c>
      <c r="R108" s="16"/>
      <c r="S108" s="7"/>
      <c r="T108" s="8">
        <f>(T96*-1)+T103</f>
        <v>-80.157679126571793</v>
      </c>
      <c r="U108" s="8">
        <f>(T109*-1)+T108</f>
        <v>-6.7767326150785721</v>
      </c>
      <c r="V108" s="8">
        <f>(U108/2)+T96</f>
        <v>0</v>
      </c>
      <c r="W108" s="4"/>
      <c r="X108" s="8">
        <f>(V108*T96)+W101</f>
        <v>7.7060090882625261</v>
      </c>
      <c r="Y108" s="21">
        <f>T104*AJ109/AJ109</f>
        <v>147.84964529636872</v>
      </c>
      <c r="Z108" s="21">
        <f>(X108+Y108)</f>
        <v>155.55565438463125</v>
      </c>
      <c r="AA108" s="5">
        <f>(AH109+AA106)/2</f>
        <v>1073.3041058878573</v>
      </c>
      <c r="AB108" s="5"/>
      <c r="AC108" s="5"/>
      <c r="AD108" s="5"/>
      <c r="AE108" s="5"/>
      <c r="AF108" s="5"/>
      <c r="AG108" s="21">
        <f>(AH105+AA105+AH105)/3</f>
        <v>955.92747623918376</v>
      </c>
      <c r="AH108" s="2">
        <f>((U99+X107)/2)*AJ109/AJ101</f>
        <v>453.5461154705057</v>
      </c>
      <c r="AI108" s="2">
        <f>W104*AJ109/AJ101</f>
        <v>885.24146695515424</v>
      </c>
      <c r="AJ108" s="44">
        <f>((AJ107*AJ106*V110*-1)*AJ109*AJ98*AJ99)*-3.444</f>
        <v>-1.1024159150098667</v>
      </c>
      <c r="AK108" s="16"/>
      <c r="AL108" s="7"/>
    </row>
    <row r="109" spans="1:38" x14ac:dyDescent="0.25">
      <c r="A109" s="8">
        <f>A96+A103</f>
        <v>-74.325138150494411</v>
      </c>
      <c r="B109" s="8">
        <f>(A110+(A108*-1)+A109)</f>
        <v>-148.65027630098882</v>
      </c>
      <c r="C109" s="4">
        <f>(B109/10)</f>
        <v>-14.865027630098883</v>
      </c>
      <c r="D109" s="4"/>
      <c r="E109" s="4">
        <f>((D105+B106)/2)*Q109</f>
        <v>325.14232635423133</v>
      </c>
      <c r="F109" s="5">
        <f>((E104+B106)/2)*Q109/Q101</f>
        <v>1140.5943198681337</v>
      </c>
      <c r="G109" s="5"/>
      <c r="H109" s="5">
        <f>(Q110/2)</f>
        <v>148.73349931080463</v>
      </c>
      <c r="I109" s="5"/>
      <c r="J109" s="5"/>
      <c r="K109" s="5"/>
      <c r="L109" s="5"/>
      <c r="M109" s="5"/>
      <c r="N109" s="21">
        <f>(Q110/2)/Q101</f>
        <v>456.23772794725346</v>
      </c>
      <c r="O109" s="2">
        <f>E104*Q109/Q101</f>
        <v>1828.21492155944</v>
      </c>
      <c r="P109" s="2">
        <f>((B96+A99)/2)*Q109/Q101</f>
        <v>939.87336709031672</v>
      </c>
      <c r="Q109" s="33">
        <f>ROUND(O102,N110)</f>
        <v>1.32</v>
      </c>
      <c r="R109" s="16"/>
      <c r="S109" s="7"/>
      <c r="T109" s="8">
        <f>T96+T103</f>
        <v>-73.380946511493221</v>
      </c>
      <c r="U109" s="8">
        <f>(T110+(T108*-1)+T109)</f>
        <v>-146.76189302298644</v>
      </c>
      <c r="V109" s="4">
        <f>(U109/10)</f>
        <v>-14.676189302298644</v>
      </c>
      <c r="W109" s="4"/>
      <c r="X109" s="4">
        <f>((W105+U106)/2)*AJ109</f>
        <v>179.29019220936229</v>
      </c>
      <c r="Y109" s="5">
        <f>((X104+U106)/2)*AJ109/AJ101</f>
        <v>1140.5943198681334</v>
      </c>
      <c r="Z109" s="5"/>
      <c r="AA109" s="5">
        <f>(AJ110/2)</f>
        <v>81.985919712121444</v>
      </c>
      <c r="AB109" s="5"/>
      <c r="AC109" s="5"/>
      <c r="AD109" s="5"/>
      <c r="AE109" s="5"/>
      <c r="AF109" s="5"/>
      <c r="AG109" s="21">
        <f>(AJ110/2)/AJ101</f>
        <v>456.23772794725346</v>
      </c>
      <c r="AH109" s="2">
        <f>X104*AJ109/AJ101</f>
        <v>1828.3920740100816</v>
      </c>
      <c r="AI109" s="2">
        <f>((U96+T99)/2)*AJ109/AJ101</f>
        <v>939.56179041926396</v>
      </c>
      <c r="AJ109" s="33">
        <f>ROUND(AH102,AG110)</f>
        <v>0.73</v>
      </c>
      <c r="AK109" s="16"/>
      <c r="AL109" s="7"/>
    </row>
    <row r="110" spans="1:38" x14ac:dyDescent="0.25">
      <c r="A110" s="21">
        <f>(A108+A109)</f>
        <v>-155.09916833225503</v>
      </c>
      <c r="B110" s="5"/>
      <c r="C110" s="12">
        <f>INT(C103)-C103+N110</f>
        <v>1.4254994512364085</v>
      </c>
      <c r="D110" s="5"/>
      <c r="E110" s="21" t="s">
        <v>3</v>
      </c>
      <c r="F110" s="5">
        <f>((O110+B106+E104)/3)*Q109/Q101</f>
        <v>2185.0850782721468</v>
      </c>
      <c r="G110" s="5"/>
      <c r="H110" s="5">
        <f>ROUND(H109,2)</f>
        <v>148.72999999999999</v>
      </c>
      <c r="I110" s="5"/>
      <c r="J110" s="5"/>
      <c r="K110" s="5"/>
      <c r="L110" s="5"/>
      <c r="M110" s="5"/>
      <c r="N110" s="5">
        <v>2</v>
      </c>
      <c r="O110" s="2">
        <f>((B96+B106+E104)/3)*Q109/Q101</f>
        <v>1055.5649318152548</v>
      </c>
      <c r="P110" s="21">
        <f>(Q110/Q109)</f>
        <v>225.35378683455247</v>
      </c>
      <c r="Q110" s="2">
        <f>P96*Q101</f>
        <v>297.46699862160926</v>
      </c>
      <c r="R110" s="16"/>
      <c r="S110" s="7"/>
      <c r="T110" s="21">
        <f>(T108+T109)</f>
        <v>-153.53862563806501</v>
      </c>
      <c r="U110" s="5"/>
      <c r="V110" s="12">
        <f>INT(V103)-V103+AG110</f>
        <v>1.6870244036373343</v>
      </c>
      <c r="W110" s="5"/>
      <c r="X110" s="21" t="s">
        <v>3</v>
      </c>
      <c r="Y110" s="5">
        <f>((AH110+U106+X104)/3)*AJ109/AJ101</f>
        <v>2189.6263980501817</v>
      </c>
      <c r="Z110" s="5"/>
      <c r="AA110" s="5">
        <f>ROUND(AA109,2)</f>
        <v>81.99</v>
      </c>
      <c r="AB110" s="5"/>
      <c r="AC110" s="5"/>
      <c r="AD110" s="5"/>
      <c r="AE110" s="5"/>
      <c r="AF110" s="5"/>
      <c r="AG110" s="5">
        <v>2</v>
      </c>
      <c r="AH110" s="2">
        <f>((U96+U106+X104)/3)*AJ109/AJ101</f>
        <v>1055.4767022304736</v>
      </c>
      <c r="AI110" s="21">
        <f>(AJ110/AJ109)</f>
        <v>224.61895811540123</v>
      </c>
      <c r="AJ110" s="2">
        <f>AI96*AJ101</f>
        <v>163.97183942424289</v>
      </c>
      <c r="AK110" s="16"/>
      <c r="AL110" s="7"/>
    </row>
    <row r="111" spans="1:38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 t="s">
        <v>4</v>
      </c>
      <c r="Q111" s="16"/>
      <c r="R111" s="16"/>
      <c r="S111" s="7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 t="s">
        <v>4</v>
      </c>
      <c r="AJ111" s="16"/>
      <c r="AK111" s="16"/>
      <c r="AL111" s="7"/>
    </row>
    <row r="112" spans="1:38" x14ac:dyDescent="0.25">
      <c r="A112" s="16"/>
      <c r="B112" s="16"/>
      <c r="C112" s="16"/>
      <c r="D112" s="16"/>
      <c r="E112" s="16"/>
      <c r="F112" s="16"/>
      <c r="G112" s="16"/>
      <c r="H112" s="16"/>
      <c r="I112" s="7"/>
      <c r="J112" s="7"/>
      <c r="K112" s="7"/>
      <c r="L112" s="7"/>
      <c r="M112" s="7"/>
      <c r="N112" s="16"/>
      <c r="O112" s="16"/>
      <c r="P112" s="16"/>
      <c r="Q112" s="16"/>
      <c r="R112" s="16"/>
      <c r="S112" s="7"/>
      <c r="T112" s="16"/>
      <c r="U112" s="16"/>
      <c r="V112" s="16"/>
      <c r="W112" s="16"/>
      <c r="X112" s="16"/>
      <c r="Y112" s="16"/>
      <c r="Z112" s="16"/>
      <c r="AA112" s="16"/>
      <c r="AB112" s="7"/>
      <c r="AC112" s="7"/>
      <c r="AD112" s="7"/>
      <c r="AE112" s="7"/>
      <c r="AF112" s="7"/>
      <c r="AG112" s="16"/>
      <c r="AH112" s="16"/>
      <c r="AI112" s="16"/>
      <c r="AJ112" s="16"/>
      <c r="AK112" s="16"/>
      <c r="AL112" s="7"/>
    </row>
    <row r="113" spans="1:38" x14ac:dyDescent="0.25">
      <c r="A113" s="16"/>
      <c r="B113" s="16"/>
      <c r="C113" s="16"/>
      <c r="D113" s="16"/>
      <c r="E113" s="16"/>
      <c r="F113" s="16"/>
      <c r="G113" s="16"/>
      <c r="H113" s="16"/>
      <c r="I113" s="7"/>
      <c r="J113" s="7"/>
      <c r="K113" s="7"/>
      <c r="L113" s="7"/>
      <c r="M113" s="7"/>
      <c r="N113" s="16"/>
      <c r="O113" s="16"/>
      <c r="P113" s="16"/>
      <c r="Q113" s="16"/>
      <c r="R113" s="16"/>
      <c r="S113" s="7"/>
      <c r="T113" s="16"/>
      <c r="U113" s="16"/>
      <c r="V113" s="16"/>
      <c r="W113" s="16"/>
      <c r="X113" s="16"/>
      <c r="Y113" s="16"/>
      <c r="Z113" s="16"/>
      <c r="AA113" s="16"/>
      <c r="AB113" s="7"/>
      <c r="AC113" s="7"/>
      <c r="AD113" s="7"/>
      <c r="AE113" s="7"/>
      <c r="AF113" s="7"/>
      <c r="AG113" s="16"/>
      <c r="AH113" s="16"/>
      <c r="AI113" s="16"/>
      <c r="AJ113" s="16"/>
      <c r="AK113" s="16"/>
      <c r="AL113" s="7"/>
    </row>
    <row r="114" spans="1:38" x14ac:dyDescent="0.25">
      <c r="A114" s="16"/>
      <c r="B114" s="16"/>
      <c r="C114" s="16"/>
      <c r="D114" s="16"/>
      <c r="E114" s="16"/>
      <c r="F114" s="16"/>
      <c r="G114" s="16"/>
      <c r="H114" s="16"/>
      <c r="I114" s="7"/>
      <c r="J114" s="7"/>
      <c r="K114" s="7"/>
      <c r="L114" s="7"/>
      <c r="M114" s="7"/>
      <c r="N114" s="16"/>
      <c r="O114" s="16"/>
      <c r="P114" s="16"/>
      <c r="Q114" s="16"/>
      <c r="R114" s="16"/>
      <c r="S114" s="7"/>
      <c r="T114" s="16"/>
      <c r="U114" s="16"/>
      <c r="V114" s="16"/>
      <c r="W114" s="16"/>
      <c r="X114" s="16"/>
      <c r="Y114" s="16"/>
      <c r="Z114" s="16"/>
      <c r="AA114" s="16"/>
      <c r="AB114" s="7"/>
      <c r="AC114" s="7"/>
      <c r="AD114" s="7"/>
      <c r="AE114" s="7"/>
      <c r="AF114" s="7"/>
      <c r="AG114" s="16"/>
      <c r="AH114" s="16"/>
      <c r="AI114" s="16"/>
      <c r="AJ114" s="16"/>
      <c r="AK114" s="16"/>
      <c r="AL114" s="7"/>
    </row>
    <row r="115" spans="1:38" x14ac:dyDescent="0.25">
      <c r="A115" s="16"/>
      <c r="B115" s="16"/>
      <c r="C115" s="16"/>
      <c r="D115" s="16"/>
      <c r="E115" s="16"/>
      <c r="F115" s="16"/>
      <c r="G115" s="16"/>
      <c r="H115" s="16"/>
      <c r="I115" s="7"/>
      <c r="J115" s="7"/>
      <c r="K115" s="7"/>
      <c r="L115" s="7"/>
      <c r="M115" s="7"/>
      <c r="N115" s="16"/>
      <c r="O115" s="16"/>
      <c r="P115" s="16"/>
      <c r="Q115" s="16"/>
      <c r="R115" s="16"/>
      <c r="S115" s="7"/>
      <c r="T115" s="16"/>
      <c r="U115" s="16"/>
      <c r="V115" s="16"/>
      <c r="W115" s="16"/>
      <c r="X115" s="16"/>
      <c r="Y115" s="16"/>
      <c r="Z115" s="16"/>
      <c r="AA115" s="16"/>
      <c r="AB115" s="7"/>
      <c r="AC115" s="7"/>
      <c r="AD115" s="7"/>
      <c r="AE115" s="7"/>
      <c r="AF115" s="7"/>
      <c r="AG115" s="16"/>
      <c r="AH115" s="16"/>
      <c r="AI115" s="16"/>
      <c r="AJ115" s="16"/>
      <c r="AK115" s="16"/>
      <c r="AL115" s="7"/>
    </row>
    <row r="116" spans="1:38" x14ac:dyDescent="0.25">
      <c r="A116" s="16"/>
      <c r="B116" s="16"/>
      <c r="C116" s="16"/>
      <c r="D116" s="16"/>
      <c r="E116" s="16"/>
      <c r="F116" s="16"/>
      <c r="G116" s="16"/>
      <c r="H116" s="16"/>
      <c r="I116" s="7"/>
      <c r="J116" s="7"/>
      <c r="K116" s="7"/>
      <c r="L116" s="7"/>
      <c r="M116" s="7"/>
      <c r="N116" s="16"/>
      <c r="O116" s="16"/>
      <c r="P116" s="16"/>
      <c r="Q116" s="16"/>
      <c r="R116" s="16"/>
      <c r="S116" s="7"/>
      <c r="T116" s="16"/>
      <c r="U116" s="16"/>
      <c r="V116" s="16"/>
      <c r="W116" s="16"/>
      <c r="X116" s="16"/>
      <c r="Y116" s="16"/>
      <c r="Z116" s="16"/>
      <c r="AA116" s="16"/>
      <c r="AB116" s="7"/>
      <c r="AC116" s="7"/>
      <c r="AD116" s="7"/>
      <c r="AE116" s="7"/>
      <c r="AF116" s="7"/>
      <c r="AG116" s="16"/>
      <c r="AH116" s="16"/>
      <c r="AI116" s="16"/>
      <c r="AJ116" s="16"/>
      <c r="AK116" s="16"/>
      <c r="AL116" s="7"/>
    </row>
    <row r="117" spans="1:38" x14ac:dyDescent="0.25">
      <c r="A117" s="16"/>
      <c r="B117" s="16"/>
      <c r="C117" s="16"/>
      <c r="D117" s="16"/>
      <c r="E117" s="16"/>
      <c r="F117" s="16"/>
      <c r="G117" s="16"/>
      <c r="H117" s="16"/>
      <c r="I117" s="7"/>
      <c r="J117" s="7"/>
      <c r="K117" s="7"/>
      <c r="L117" s="7"/>
      <c r="M117" s="7"/>
      <c r="N117" s="16"/>
      <c r="O117" s="16"/>
      <c r="P117" s="16"/>
      <c r="Q117" s="16"/>
      <c r="R117" s="16"/>
      <c r="S117" s="7"/>
      <c r="T117" s="16"/>
      <c r="U117" s="16"/>
      <c r="V117" s="16"/>
      <c r="W117" s="16"/>
      <c r="X117" s="16"/>
      <c r="Y117" s="16"/>
      <c r="Z117" s="16"/>
      <c r="AA117" s="16"/>
      <c r="AB117" s="7"/>
      <c r="AC117" s="7"/>
      <c r="AD117" s="7"/>
      <c r="AE117" s="7"/>
      <c r="AF117" s="7"/>
      <c r="AG117" s="16"/>
      <c r="AH117" s="16"/>
      <c r="AI117" s="16"/>
      <c r="AJ117" s="16"/>
      <c r="AK117" s="16"/>
      <c r="AL117" s="7"/>
    </row>
    <row r="118" spans="1:38" x14ac:dyDescent="0.25">
      <c r="A118" s="16"/>
      <c r="B118" s="16"/>
      <c r="C118" s="16"/>
      <c r="D118" s="16"/>
      <c r="E118" s="16"/>
      <c r="F118" s="16"/>
      <c r="G118" s="16"/>
      <c r="H118" s="16"/>
      <c r="I118" s="7"/>
      <c r="J118" s="7"/>
      <c r="K118" s="7"/>
      <c r="L118" s="7"/>
      <c r="M118" s="7"/>
      <c r="N118" s="16"/>
      <c r="O118" s="16"/>
      <c r="P118" s="16"/>
      <c r="Q118" s="16"/>
      <c r="R118" s="16"/>
      <c r="S118" s="7"/>
      <c r="T118" s="16"/>
      <c r="U118" s="16"/>
      <c r="V118" s="16"/>
      <c r="W118" s="16"/>
      <c r="X118" s="16"/>
      <c r="Y118" s="16"/>
      <c r="Z118" s="16"/>
      <c r="AA118" s="16"/>
      <c r="AB118" s="7"/>
      <c r="AC118" s="7"/>
      <c r="AD118" s="7"/>
      <c r="AE118" s="7"/>
      <c r="AF118" s="7"/>
      <c r="AG118" s="16"/>
      <c r="AH118" s="16"/>
      <c r="AI118" s="16"/>
      <c r="AJ118" s="16"/>
      <c r="AK118" s="16"/>
      <c r="AL118" s="7"/>
    </row>
    <row r="119" spans="1:38" x14ac:dyDescent="0.25">
      <c r="A119" s="16"/>
      <c r="B119" s="16"/>
      <c r="C119" s="16"/>
      <c r="D119" s="16"/>
      <c r="E119" s="16"/>
      <c r="F119" s="16"/>
      <c r="G119" s="16"/>
      <c r="H119" s="16"/>
      <c r="I119" s="7"/>
      <c r="J119" s="7"/>
      <c r="K119" s="7"/>
      <c r="L119" s="7"/>
      <c r="M119" s="7"/>
      <c r="N119" s="16"/>
      <c r="O119" s="16"/>
      <c r="P119" s="16"/>
      <c r="Q119" s="16"/>
      <c r="R119" s="16"/>
      <c r="S119" s="7"/>
      <c r="T119" s="16"/>
      <c r="U119" s="16"/>
      <c r="V119" s="16"/>
      <c r="W119" s="16"/>
      <c r="X119" s="16"/>
      <c r="Y119" s="16"/>
      <c r="Z119" s="16"/>
      <c r="AA119" s="16"/>
      <c r="AB119" s="7"/>
      <c r="AC119" s="7"/>
      <c r="AD119" s="7"/>
      <c r="AE119" s="7"/>
      <c r="AF119" s="7"/>
      <c r="AG119" s="16"/>
      <c r="AH119" s="16"/>
      <c r="AI119" s="16"/>
      <c r="AJ119" s="16"/>
      <c r="AK119" s="16"/>
      <c r="AL119" s="7"/>
    </row>
    <row r="120" spans="1:38" x14ac:dyDescent="0.25">
      <c r="A120" s="2">
        <f>P135</f>
        <v>224.67295968399489</v>
      </c>
      <c r="B120" s="4">
        <f>(A120*10^0.125)</f>
        <v>299.6062069661736</v>
      </c>
      <c r="C120" s="4">
        <f>INT(B120)</f>
        <v>299</v>
      </c>
      <c r="D120" s="4">
        <f>C120*4</f>
        <v>1196</v>
      </c>
      <c r="E120" s="4">
        <f>D120/5</f>
        <v>239.2</v>
      </c>
      <c r="F120" s="5">
        <f>E120^2</f>
        <v>57216.639999999992</v>
      </c>
      <c r="G120" s="5">
        <f>(F120^0.125)</f>
        <v>3.9326952517764404</v>
      </c>
      <c r="H120" s="5">
        <f>G120/3</f>
        <v>1.3108984172588134</v>
      </c>
      <c r="I120" s="5">
        <f>(H120*100)</f>
        <v>131.08984172588134</v>
      </c>
      <c r="J120" s="5">
        <f>(F120/100)</f>
        <v>572.16639999999995</v>
      </c>
      <c r="K120" s="5">
        <f>(J120+I120)/2</f>
        <v>351.62812086294065</v>
      </c>
      <c r="L120" s="5">
        <f>(K120+I120)/2</f>
        <v>241.358981294411</v>
      </c>
      <c r="M120" s="5">
        <f>(L120+A120)/2</f>
        <v>233.01597048920294</v>
      </c>
      <c r="N120" s="5">
        <f>M120*100^0.5</f>
        <v>2330.1597048920294</v>
      </c>
      <c r="O120" s="5">
        <f>INT(N120)/10</f>
        <v>233</v>
      </c>
      <c r="P120" s="5">
        <f>(O120)^2/10000</f>
        <v>5.4288999999999996</v>
      </c>
      <c r="Q120" s="5">
        <f>(P120+I120+M120)/3</f>
        <v>123.17823740502809</v>
      </c>
      <c r="R120" s="6">
        <f>Q125^0.5</f>
        <v>30.413005635566734</v>
      </c>
      <c r="S120" s="7"/>
      <c r="T120" s="2">
        <f>AI135</f>
        <v>224.61895811540123</v>
      </c>
      <c r="U120" s="4">
        <f>(T120*10^0.125)</f>
        <v>299.53419471708355</v>
      </c>
      <c r="V120" s="4">
        <f>INT(U120)</f>
        <v>299</v>
      </c>
      <c r="W120" s="4">
        <f>V120*4</f>
        <v>1196</v>
      </c>
      <c r="X120" s="4">
        <f>W120/5</f>
        <v>239.2</v>
      </c>
      <c r="Y120" s="5">
        <f>X120^2</f>
        <v>57216.639999999992</v>
      </c>
      <c r="Z120" s="5">
        <f>(Y120^0.125)</f>
        <v>3.9326952517764404</v>
      </c>
      <c r="AA120" s="5">
        <f>Z120/3</f>
        <v>1.3108984172588134</v>
      </c>
      <c r="AB120" s="5">
        <f>(AA120*100)</f>
        <v>131.08984172588134</v>
      </c>
      <c r="AC120" s="5">
        <f>(Y120/100)</f>
        <v>572.16639999999995</v>
      </c>
      <c r="AD120" s="5">
        <f>(AC120+AB120)/2</f>
        <v>351.62812086294065</v>
      </c>
      <c r="AE120" s="5">
        <f>(AD120+AB120)/2</f>
        <v>241.358981294411</v>
      </c>
      <c r="AF120" s="5">
        <f>(AE120+T120)/2</f>
        <v>232.98896970490611</v>
      </c>
      <c r="AG120" s="5">
        <f>AF120*100^0.5</f>
        <v>2329.8896970490609</v>
      </c>
      <c r="AH120" s="5">
        <f>INT(AG120)/10</f>
        <v>232.9</v>
      </c>
      <c r="AI120" s="5">
        <f>(AH120)^2/10000</f>
        <v>5.4242410000000003</v>
      </c>
      <c r="AJ120" s="5">
        <f>(AI120+AB120+AF120)/3</f>
        <v>123.16768414359581</v>
      </c>
      <c r="AK120" s="6">
        <f>AJ125^0.5</f>
        <v>30.413005635566734</v>
      </c>
      <c r="AL120" s="7"/>
    </row>
    <row r="121" spans="1:38" x14ac:dyDescent="0.25">
      <c r="A121" s="8">
        <f>(O122-O121)</f>
        <v>3.3805847584669095</v>
      </c>
      <c r="B121" s="4">
        <f>(B122+A123)/2</f>
        <v>217.97000833484142</v>
      </c>
      <c r="C121" s="9">
        <f>(D123*C123*B123*C122*D122*A121)</f>
        <v>7343961105198.1953</v>
      </c>
      <c r="D121" s="4">
        <f>(C122*C121*A121)</f>
        <v>8549381014.2083273</v>
      </c>
      <c r="E121" s="8">
        <f>INT(A121+1)</f>
        <v>4</v>
      </c>
      <c r="F121" s="10">
        <f>(Q133*-1)</f>
        <v>464.44759072924057</v>
      </c>
      <c r="G121" s="11"/>
      <c r="H121" s="2">
        <f>IF(F121&lt;0,1,-1)</f>
        <v>-1</v>
      </c>
      <c r="I121" s="11"/>
      <c r="J121" s="11"/>
      <c r="K121" s="11"/>
      <c r="L121" s="11"/>
      <c r="M121" s="11"/>
      <c r="N121" s="11">
        <f>(M120+O120)/2</f>
        <v>233.00798524460146</v>
      </c>
      <c r="O121" s="11">
        <f>N121-A120</f>
        <v>8.3350255606065673</v>
      </c>
      <c r="P121" s="11">
        <f>(Q125+R123)/2</f>
        <v>912.47545589450692</v>
      </c>
      <c r="Q121" s="12">
        <f>(Q124*A121*100)</f>
        <v>-631.20519033056246</v>
      </c>
      <c r="R121" s="6">
        <f>INT(R120)</f>
        <v>30</v>
      </c>
      <c r="S121" s="7"/>
      <c r="T121" s="8">
        <f>(AH122-AH121)</f>
        <v>3.388366307539286</v>
      </c>
      <c r="U121" s="4">
        <f>(U122+T123)/2</f>
        <v>217.91492001622083</v>
      </c>
      <c r="V121" s="9">
        <f>(W123*V123*U123*V122*W122*T121)</f>
        <v>7511105169560.5254</v>
      </c>
      <c r="W121" s="4">
        <f>(V122*V121*T121)</f>
        <v>8724434386.9822826</v>
      </c>
      <c r="X121" s="8">
        <f>INT(T121+1)</f>
        <v>4</v>
      </c>
      <c r="Y121" s="10">
        <f>(AJ133*-1)</f>
        <v>270.25798359299989</v>
      </c>
      <c r="Z121" s="11"/>
      <c r="AA121" s="2">
        <f>IF(Y121&lt;0,1,-1)</f>
        <v>-1</v>
      </c>
      <c r="AB121" s="11"/>
      <c r="AC121" s="11"/>
      <c r="AD121" s="11"/>
      <c r="AE121" s="11"/>
      <c r="AF121" s="11"/>
      <c r="AG121" s="11">
        <f>(AF120+AH120)/2</f>
        <v>232.94448485245306</v>
      </c>
      <c r="AH121" s="11">
        <f>AG121-T120</f>
        <v>8.3255267370518311</v>
      </c>
      <c r="AI121" s="11">
        <f>(AJ125+AK123)/2</f>
        <v>912.47545589450692</v>
      </c>
      <c r="AJ121" s="12">
        <f>(AJ124*T121*100)</f>
        <v>-640.04586280744707</v>
      </c>
      <c r="AK121" s="6">
        <f>INT(AK120)</f>
        <v>30</v>
      </c>
      <c r="AL121" s="7"/>
    </row>
    <row r="122" spans="1:38" x14ac:dyDescent="0.25">
      <c r="A122" s="8">
        <f>N121</f>
        <v>233.00798524460146</v>
      </c>
      <c r="B122" s="8">
        <f>(N121+N123)/2</f>
        <v>222.98266730476143</v>
      </c>
      <c r="C122" s="4">
        <f>(A121/D123)</f>
        <v>3.4435982243270476E-4</v>
      </c>
      <c r="D122" s="4">
        <f>(A121+B123+C123+D123)</f>
        <v>22541.345269795194</v>
      </c>
      <c r="E122" s="14">
        <f>(E121*C123)</f>
        <v>11615.756947899126</v>
      </c>
      <c r="F122" s="15"/>
      <c r="G122" s="11"/>
      <c r="H122" s="11"/>
      <c r="I122" s="11"/>
      <c r="J122" s="11"/>
      <c r="K122" s="11"/>
      <c r="L122" s="11"/>
      <c r="M122" s="11">
        <f>(N121+N123)/2</f>
        <v>222.98266730476143</v>
      </c>
      <c r="N122" s="11">
        <f>(I120+N121)/2</f>
        <v>182.0489134852414</v>
      </c>
      <c r="O122" s="11">
        <f>A120-N123</f>
        <v>11.715610319073477</v>
      </c>
      <c r="P122" s="11"/>
      <c r="Q122" s="5"/>
      <c r="R122" s="16"/>
      <c r="S122" s="7"/>
      <c r="T122" s="8">
        <f>AG121</f>
        <v>232.94448485245306</v>
      </c>
      <c r="U122" s="8">
        <f>(AG121+AG123)/2</f>
        <v>222.92477496163158</v>
      </c>
      <c r="V122" s="4">
        <f>(T121/W123)</f>
        <v>3.4280179175427591E-4</v>
      </c>
      <c r="W122" s="4">
        <f>(T121+U123+V123+W123)</f>
        <v>22689.187571969276</v>
      </c>
      <c r="X122" s="14">
        <f>(X121*V123)</f>
        <v>11668.550445813435</v>
      </c>
      <c r="Y122" s="15"/>
      <c r="Z122" s="11"/>
      <c r="AA122" s="11"/>
      <c r="AB122" s="11"/>
      <c r="AC122" s="11"/>
      <c r="AD122" s="11"/>
      <c r="AE122" s="11"/>
      <c r="AF122" s="11">
        <f>(AG121+AG123)/2</f>
        <v>222.92477496163158</v>
      </c>
      <c r="AG122" s="11">
        <f>(AB120+AG121)/2</f>
        <v>182.0171632891672</v>
      </c>
      <c r="AH122" s="11">
        <f>T120-AG123</f>
        <v>11.713893044591117</v>
      </c>
      <c r="AI122" s="11"/>
      <c r="AJ122" s="5"/>
      <c r="AK122" s="16"/>
      <c r="AL122" s="7"/>
    </row>
    <row r="123" spans="1:38" x14ac:dyDescent="0.25">
      <c r="A123" s="17">
        <f>N123</f>
        <v>212.95734936492141</v>
      </c>
      <c r="B123" s="4">
        <f>G129</f>
        <v>9817.0127240309739</v>
      </c>
      <c r="C123" s="4">
        <f>(B123/A121)</f>
        <v>2903.9392369747816</v>
      </c>
      <c r="D123" s="4">
        <f>(A121*C123)</f>
        <v>9817.0127240309739</v>
      </c>
      <c r="E123" s="8">
        <f>INT(A121)+1</f>
        <v>4</v>
      </c>
      <c r="F123" s="15">
        <f>(Q133)</f>
        <v>-464.44759072924057</v>
      </c>
      <c r="G123" s="11"/>
      <c r="H123" s="2">
        <f>IF(F121&gt;0,-1,1)</f>
        <v>-1</v>
      </c>
      <c r="I123" s="11"/>
      <c r="J123" s="11"/>
      <c r="K123" s="11"/>
      <c r="L123" s="11"/>
      <c r="M123" s="11">
        <f>(N122+P120*2)</f>
        <v>192.9067134852414</v>
      </c>
      <c r="N123" s="11">
        <f>(N121+M123)/2</f>
        <v>212.95734936492141</v>
      </c>
      <c r="O123" s="11">
        <f>(N122+J120)/2</f>
        <v>377.10765674262069</v>
      </c>
      <c r="P123" s="2">
        <f>IF(Q133&gt;1,-1,1)</f>
        <v>1</v>
      </c>
      <c r="Q123" s="12">
        <f>F131-F128</f>
        <v>-3.8290213395150916</v>
      </c>
      <c r="R123" s="6">
        <f>R121^2</f>
        <v>900</v>
      </c>
      <c r="S123" s="7"/>
      <c r="T123" s="17">
        <f>AG123</f>
        <v>212.90506507081011</v>
      </c>
      <c r="U123" s="4">
        <f>Z129</f>
        <v>9884.3307971041886</v>
      </c>
      <c r="V123" s="4">
        <f>(U123/T121)</f>
        <v>2917.1376114533587</v>
      </c>
      <c r="W123" s="4">
        <f>(T121*V123)</f>
        <v>9884.3307971041886</v>
      </c>
      <c r="X123" s="8">
        <f>INT(T121)+1</f>
        <v>4</v>
      </c>
      <c r="Y123" s="15">
        <f>(AJ133)</f>
        <v>-270.25798359299989</v>
      </c>
      <c r="Z123" s="11"/>
      <c r="AA123" s="2">
        <f>IF(Y121&gt;0,-1,1)</f>
        <v>-1</v>
      </c>
      <c r="AB123" s="11"/>
      <c r="AC123" s="11"/>
      <c r="AD123" s="11"/>
      <c r="AE123" s="11"/>
      <c r="AF123" s="11">
        <f>(AG122+AI120*2)</f>
        <v>192.86564528916719</v>
      </c>
      <c r="AG123" s="11">
        <f>(AG121+AF123)/2</f>
        <v>212.90506507081011</v>
      </c>
      <c r="AH123" s="11">
        <f>(AG122+AC120)/2</f>
        <v>377.09178164458359</v>
      </c>
      <c r="AI123" s="2">
        <f>IF(AJ133&gt;1,-1,1)</f>
        <v>1</v>
      </c>
      <c r="AJ123" s="12">
        <f>Y131-Y128</f>
        <v>-3.8427568477534129</v>
      </c>
      <c r="AK123" s="6">
        <f>AK121^2</f>
        <v>900</v>
      </c>
      <c r="AL123" s="7"/>
    </row>
    <row r="124" spans="1:38" x14ac:dyDescent="0.25">
      <c r="A124" s="17">
        <f>(O122+O121)+A120</f>
        <v>244.72359556367493</v>
      </c>
      <c r="B124" s="4">
        <f>(A122+B122)/2</f>
        <v>227.99532627468145</v>
      </c>
      <c r="C124" s="8">
        <f>(C122)</f>
        <v>3.4435982243270476E-4</v>
      </c>
      <c r="D124" s="4">
        <f>(D121*D122*D123*B123*A121)</f>
        <v>6.2786321641865864E+22</v>
      </c>
      <c r="E124" s="4">
        <f>(C124*A121)</f>
        <v>1.1641375671443731E-3</v>
      </c>
      <c r="F124" s="11">
        <f>(F126/O126)*O127-F127</f>
        <v>-462.45819129083281</v>
      </c>
      <c r="G124" s="11"/>
      <c r="H124" s="11"/>
      <c r="I124" s="11"/>
      <c r="J124" s="11"/>
      <c r="K124" s="11"/>
      <c r="L124" s="11"/>
      <c r="M124" s="11"/>
      <c r="N124" s="9">
        <f>(F124+Q133)*F127</f>
        <v>-430499.15729222575</v>
      </c>
      <c r="O124" s="2">
        <f>H123</f>
        <v>-1</v>
      </c>
      <c r="P124" s="2">
        <f>IF(Q133&lt;100,1,-1)</f>
        <v>1</v>
      </c>
      <c r="Q124" s="12">
        <f>Q123+F131</f>
        <v>-1.8671479505126003</v>
      </c>
      <c r="R124" s="16"/>
      <c r="S124" s="7"/>
      <c r="T124" s="17">
        <f>(AH122+AH121)+T120</f>
        <v>244.65837789704418</v>
      </c>
      <c r="U124" s="4">
        <f>(T122+U122)/2</f>
        <v>227.93462990704234</v>
      </c>
      <c r="V124" s="8">
        <f>(V122)</f>
        <v>3.4280179175427591E-4</v>
      </c>
      <c r="W124" s="4">
        <f>(W121*W122*W123*U123*T121)</f>
        <v>6.5530144225554229E+22</v>
      </c>
      <c r="X124" s="4">
        <f>(V124*T121)</f>
        <v>1.1615380413442871E-3</v>
      </c>
      <c r="Y124" s="11">
        <f>(Y126/AH126)*AH127-Y127</f>
        <v>-269.15598408846029</v>
      </c>
      <c r="Z124" s="11"/>
      <c r="AA124" s="11"/>
      <c r="AB124" s="11"/>
      <c r="AC124" s="11"/>
      <c r="AD124" s="11"/>
      <c r="AE124" s="11"/>
      <c r="AF124" s="11"/>
      <c r="AG124" s="9">
        <f>(Y124+AJ133)*Y127</f>
        <v>-145780.93122749106</v>
      </c>
      <c r="AH124" s="2">
        <f>AA123</f>
        <v>-1</v>
      </c>
      <c r="AI124" s="2">
        <f>IF(AJ133&lt;100,1,-1)</f>
        <v>1</v>
      </c>
      <c r="AJ124" s="12">
        <f>AJ123+Y131</f>
        <v>-1.8889512074987662</v>
      </c>
      <c r="AK124" s="16"/>
      <c r="AL124" s="7"/>
    </row>
    <row r="125" spans="1:38" x14ac:dyDescent="0.25">
      <c r="A125" s="17">
        <f>(O122*-1-O121)+A120</f>
        <v>204.62232380431485</v>
      </c>
      <c r="B125" s="4">
        <f>(B122+B121)/2</f>
        <v>220.47633781980142</v>
      </c>
      <c r="C125" s="4">
        <f>(B121+A123)/2</f>
        <v>215.46367884988143</v>
      </c>
      <c r="D125" s="4">
        <f>D121</f>
        <v>8549381014.2083273</v>
      </c>
      <c r="E125" s="4">
        <f>(B122+A120)/2</f>
        <v>223.82781349437818</v>
      </c>
      <c r="F125" s="11">
        <f>(F127/O127)</f>
        <v>350.87152930711522</v>
      </c>
      <c r="G125" s="11"/>
      <c r="H125" s="11"/>
      <c r="I125" s="11"/>
      <c r="J125" s="11"/>
      <c r="K125" s="11"/>
      <c r="L125" s="11"/>
      <c r="M125" s="11"/>
      <c r="N125" s="11"/>
      <c r="O125" s="2">
        <f>H121</f>
        <v>-1</v>
      </c>
      <c r="P125" s="2">
        <f>IF(Q133&lt;0,-1,1)</f>
        <v>-1</v>
      </c>
      <c r="Q125" s="15">
        <f>Q100</f>
        <v>924.95091178901396</v>
      </c>
      <c r="R125" s="16"/>
      <c r="S125" s="7"/>
      <c r="T125" s="17">
        <f>(AH122*-1-AH121)+T120</f>
        <v>204.57953833375828</v>
      </c>
      <c r="U125" s="4">
        <f>(U122+U121)/2</f>
        <v>220.41984748892622</v>
      </c>
      <c r="V125" s="4">
        <f>(U121+T123)/2</f>
        <v>215.40999254351547</v>
      </c>
      <c r="W125" s="4">
        <f>W121</f>
        <v>8724434386.9822826</v>
      </c>
      <c r="X125" s="4">
        <f>(U122+T120)/2</f>
        <v>223.77186653851641</v>
      </c>
      <c r="Y125" s="11">
        <f>(Y127/AH127)</f>
        <v>370.36303905655785</v>
      </c>
      <c r="Z125" s="11"/>
      <c r="AA125" s="11"/>
      <c r="AB125" s="11"/>
      <c r="AC125" s="11"/>
      <c r="AD125" s="11"/>
      <c r="AE125" s="11"/>
      <c r="AF125" s="11"/>
      <c r="AG125" s="11"/>
      <c r="AH125" s="2">
        <f>AA121</f>
        <v>-1</v>
      </c>
      <c r="AI125" s="2">
        <f>IF(AJ133&lt;0,-1,1)</f>
        <v>-1</v>
      </c>
      <c r="AJ125" s="15">
        <f>AJ100</f>
        <v>924.95091178901396</v>
      </c>
      <c r="AK125" s="16"/>
      <c r="AL125" s="7"/>
    </row>
    <row r="126" spans="1:38" x14ac:dyDescent="0.25">
      <c r="A126" s="8">
        <f>(A125-A124)+A120-A122</f>
        <v>-48.436297319966656</v>
      </c>
      <c r="B126" s="8">
        <f>(A126*-1)+A127</f>
        <v>20.050635879680044</v>
      </c>
      <c r="C126" s="8">
        <f>(B126/2)+A121</f>
        <v>13.405902698306932</v>
      </c>
      <c r="D126" s="8">
        <f>(C134+C127+B133+B126+A121)*-1</f>
        <v>7.7054831431374708</v>
      </c>
      <c r="E126" s="8">
        <f>(C126*A121)*D126</f>
        <v>349.21088047984767</v>
      </c>
      <c r="F126" s="2">
        <f>(E126*A121)</f>
        <v>1180.5369800409826</v>
      </c>
      <c r="G126" s="2">
        <f>(F126+E126)</f>
        <v>1529.7478605208303</v>
      </c>
      <c r="H126" s="11"/>
      <c r="I126" s="11"/>
      <c r="J126" s="11"/>
      <c r="K126" s="11"/>
      <c r="L126" s="11"/>
      <c r="M126" s="11"/>
      <c r="N126" s="11"/>
      <c r="O126" s="11">
        <v>785.5</v>
      </c>
      <c r="P126" s="2">
        <f>IF(N124&gt;-1,1,-1)</f>
        <v>-1</v>
      </c>
      <c r="Q126" s="5">
        <f>Q78</f>
        <v>0.32600000000000001</v>
      </c>
      <c r="R126" s="16"/>
      <c r="S126" s="7"/>
      <c r="T126" s="8">
        <f>(T125-T124)+T120-T122</f>
        <v>-48.404366300337728</v>
      </c>
      <c r="U126" s="8">
        <f>(T126*-1)+T127</f>
        <v>20.039419781642948</v>
      </c>
      <c r="V126" s="8">
        <f>(U126/2)+T121</f>
        <v>13.40807619836076</v>
      </c>
      <c r="W126" s="8">
        <f>(V134+V127+U133+U126+T121)*-1</f>
        <v>7.7060090882625261</v>
      </c>
      <c r="X126" s="8">
        <f>(V126*T121)*W126</f>
        <v>350.09534875872282</v>
      </c>
      <c r="Y126" s="2">
        <f>(X126*T121)</f>
        <v>1186.2512841602722</v>
      </c>
      <c r="Z126" s="2">
        <f>(Y126+X126)</f>
        <v>1536.3466329189951</v>
      </c>
      <c r="AA126" s="11"/>
      <c r="AB126" s="11"/>
      <c r="AC126" s="11"/>
      <c r="AD126" s="11"/>
      <c r="AE126" s="11"/>
      <c r="AF126" s="11"/>
      <c r="AG126" s="11"/>
      <c r="AH126" s="11">
        <v>785.5</v>
      </c>
      <c r="AI126" s="2">
        <f>IF(AG124&gt;-1,1,-1)</f>
        <v>-1</v>
      </c>
      <c r="AJ126" s="5">
        <f>AJ78</f>
        <v>0.1797</v>
      </c>
      <c r="AK126" s="16"/>
      <c r="AL126" s="7"/>
    </row>
    <row r="127" spans="1:38" x14ac:dyDescent="0.25">
      <c r="A127" s="8">
        <f>(A125-A124)+A120-A123</f>
        <v>-28.385661440286611</v>
      </c>
      <c r="B127" s="8">
        <f>A128+(A127*-1)+A126</f>
        <v>-96.872594639933311</v>
      </c>
      <c r="C127" s="4">
        <f>(B127/10)</f>
        <v>-9.6872594639933318</v>
      </c>
      <c r="D127" s="4"/>
      <c r="E127" s="4"/>
      <c r="F127" s="11">
        <f>(Q133*-1)</f>
        <v>464.44759072924057</v>
      </c>
      <c r="G127" s="11"/>
      <c r="H127" s="11"/>
      <c r="I127" s="11"/>
      <c r="J127" s="11"/>
      <c r="K127" s="11"/>
      <c r="L127" s="11"/>
      <c r="M127" s="11"/>
      <c r="N127" s="11"/>
      <c r="O127" s="11">
        <f>(H135/1000)*8.9</f>
        <v>1.3236970000000001</v>
      </c>
      <c r="P127" s="2">
        <f>(P129+O131)/2</f>
        <v>890.34196673120732</v>
      </c>
      <c r="Q127" s="5">
        <f>H135/(Q134*1000)</f>
        <v>0.11233383685800603</v>
      </c>
      <c r="R127" s="16"/>
      <c r="S127" s="7"/>
      <c r="T127" s="8">
        <f>(T125-T124)+T120-T123</f>
        <v>-28.364946518694779</v>
      </c>
      <c r="U127" s="8">
        <f>T128+(T127*-1)+T126</f>
        <v>-96.808732600675455</v>
      </c>
      <c r="V127" s="4">
        <f>(U127/10)</f>
        <v>-9.6808732600675462</v>
      </c>
      <c r="W127" s="4"/>
      <c r="X127" s="4"/>
      <c r="Y127" s="11">
        <f>(AJ133*-1)</f>
        <v>270.25798359299989</v>
      </c>
      <c r="Z127" s="11"/>
      <c r="AA127" s="11"/>
      <c r="AB127" s="11"/>
      <c r="AC127" s="11"/>
      <c r="AD127" s="11"/>
      <c r="AE127" s="11"/>
      <c r="AF127" s="11"/>
      <c r="AG127" s="11"/>
      <c r="AH127" s="11">
        <f>(AA135/1000)*8.9</f>
        <v>0.729711</v>
      </c>
      <c r="AI127" s="2">
        <f>(AI129+AH131)/2</f>
        <v>890.32938307945847</v>
      </c>
      <c r="AJ127" s="5">
        <f>AA135/(AJ134*1000)</f>
        <v>0.11231506849315068</v>
      </c>
      <c r="AK127" s="16"/>
      <c r="AL127" s="7"/>
    </row>
    <row r="128" spans="1:38" x14ac:dyDescent="0.25">
      <c r="A128" s="8">
        <f>(A127+A126)</f>
        <v>-76.821958760253267</v>
      </c>
      <c r="B128" s="4"/>
      <c r="C128" s="4">
        <f>((F128+E128*-1)+E132)*10-A121+O128*-1-C124*111</f>
        <v>10.328123888055572</v>
      </c>
      <c r="D128" s="4"/>
      <c r="E128" s="4">
        <f>(E132+O128+F128)</f>
        <v>-9.2575916685019521E-2</v>
      </c>
      <c r="F128" s="11">
        <f>(O128*E132)</f>
        <v>5.7908947285175829</v>
      </c>
      <c r="G128" s="11"/>
      <c r="H128" s="21">
        <f>(P129+H129)/2</f>
        <v>679.45570836684806</v>
      </c>
      <c r="I128" s="11"/>
      <c r="J128" s="11"/>
      <c r="K128" s="11"/>
      <c r="L128" s="11"/>
      <c r="M128" s="11"/>
      <c r="N128" s="11">
        <f>(A124-A120)-(A120-B125)</f>
        <v>15.85401401548657</v>
      </c>
      <c r="O128" s="2">
        <f>(P128+A121+C124*10)</f>
        <v>-1.2497211442556828</v>
      </c>
      <c r="P128" s="11">
        <f>E132</f>
        <v>-4.6337495009469194</v>
      </c>
      <c r="Q128" s="12">
        <f>(Q124*Q123*10)</f>
        <v>71.49349346544615</v>
      </c>
      <c r="R128" s="16"/>
      <c r="S128" s="7"/>
      <c r="T128" s="8">
        <f>(T127+T126)</f>
        <v>-76.769312819032507</v>
      </c>
      <c r="U128" s="4"/>
      <c r="V128" s="4">
        <f>((Y128+X128*-1)+X132)*10-T121+AH128*-1-V124*111</f>
        <v>10.312975596362666</v>
      </c>
      <c r="W128" s="4"/>
      <c r="X128" s="4">
        <f>(X132+AH128+Y128)</f>
        <v>-9.3303274319073815E-2</v>
      </c>
      <c r="Y128" s="11">
        <f>(AH128*X132)</f>
        <v>5.7965624880080595</v>
      </c>
      <c r="Z128" s="11"/>
      <c r="AA128" s="21">
        <f>(AI129+AA129)/2</f>
        <v>679.44261433905422</v>
      </c>
      <c r="AB128" s="11"/>
      <c r="AC128" s="11"/>
      <c r="AD128" s="11"/>
      <c r="AE128" s="11"/>
      <c r="AF128" s="11"/>
      <c r="AG128" s="11">
        <f>(T124-T120)-(T120-U125)</f>
        <v>15.840309155167944</v>
      </c>
      <c r="AH128" s="2">
        <f>(AI128+T121+V124*10)</f>
        <v>-1.2490357184351522</v>
      </c>
      <c r="AI128" s="11">
        <f>X132</f>
        <v>-4.6408300438919809</v>
      </c>
      <c r="AJ128" s="12">
        <f>(AJ124*AJ123*10)</f>
        <v>72.587801876879624</v>
      </c>
      <c r="AK128" s="16"/>
      <c r="AL128" s="7"/>
    </row>
    <row r="129" spans="1:38" x14ac:dyDescent="0.25">
      <c r="A129" s="8">
        <f>(A120+A128)</f>
        <v>147.85100092374162</v>
      </c>
      <c r="B129" s="4">
        <f>(A120+A129)/2</f>
        <v>186.26198030386826</v>
      </c>
      <c r="C129" s="4">
        <f>(E125-A120)-(A120-B129)</f>
        <v>-39.256125569743347</v>
      </c>
      <c r="D129" s="8">
        <f>(B125+C125)/2</f>
        <v>217.97000833484142</v>
      </c>
      <c r="E129" s="8">
        <f>(A124+A130)</f>
        <v>450.19106555760652</v>
      </c>
      <c r="F129" s="21">
        <f>(G126*2)-G133</f>
        <v>2903.9392369747816</v>
      </c>
      <c r="G129" s="21">
        <f>(A121*F129)</f>
        <v>9817.0127240309739</v>
      </c>
      <c r="H129" s="21">
        <f>(N131+P129)/2</f>
        <v>453.30082927509449</v>
      </c>
      <c r="I129" s="21"/>
      <c r="J129" s="21"/>
      <c r="K129" s="21"/>
      <c r="L129" s="21"/>
      <c r="M129" s="21"/>
      <c r="N129" s="21">
        <f>(O129+O130)/2</f>
        <v>919.19254661925186</v>
      </c>
      <c r="O129" s="2">
        <f>(A123+C125)/2*Q134/Q126</f>
        <v>869.98380576134809</v>
      </c>
      <c r="P129" s="2">
        <f>B122*Q134/Q126</f>
        <v>905.61058745860169</v>
      </c>
      <c r="Q129" s="5">
        <f>(A125+B122)/2</f>
        <v>213.80249555453815</v>
      </c>
      <c r="R129" s="16"/>
      <c r="S129" s="7"/>
      <c r="T129" s="8">
        <f>(T120+T128)</f>
        <v>147.84964529636872</v>
      </c>
      <c r="U129" s="4">
        <f>(T120+T129)/2</f>
        <v>186.23430170588497</v>
      </c>
      <c r="V129" s="4">
        <f>(X125-T120)-(T120-U129)</f>
        <v>-39.231747986401075</v>
      </c>
      <c r="W129" s="8">
        <f>(U125+V125)/2</f>
        <v>217.91492001622083</v>
      </c>
      <c r="X129" s="8">
        <f>(T124+T130)</f>
        <v>450.08500780768725</v>
      </c>
      <c r="Y129" s="21">
        <f>(Z126*2)-Z133</f>
        <v>2917.1376114533587</v>
      </c>
      <c r="Z129" s="21">
        <f>(T121*Y129)</f>
        <v>9884.3307971041886</v>
      </c>
      <c r="AA129" s="21">
        <f>(AG131+AI129)/2</f>
        <v>453.29209722573751</v>
      </c>
      <c r="AB129" s="21"/>
      <c r="AC129" s="21"/>
      <c r="AD129" s="21"/>
      <c r="AE129" s="21"/>
      <c r="AF129" s="21"/>
      <c r="AG129" s="21">
        <f>(AH129+AH130)/2</f>
        <v>919.17321231839833</v>
      </c>
      <c r="AH129" s="2">
        <f>(T123+V125)/2*AJ134/AJ126</f>
        <v>869.97771858224178</v>
      </c>
      <c r="AI129" s="2">
        <f>U122*AJ134/AJ126</f>
        <v>905.59313145237093</v>
      </c>
      <c r="AJ129" s="5">
        <f>(T125+U122)/2</f>
        <v>213.75215664769493</v>
      </c>
      <c r="AK129" s="16"/>
      <c r="AL129" s="7"/>
    </row>
    <row r="130" spans="1:38" x14ac:dyDescent="0.25">
      <c r="A130" s="8">
        <f>((A125+A124+A123+A122)/4-A125-A120)*-1</f>
        <v>205.46746999393156</v>
      </c>
      <c r="B130" s="4">
        <f>(B125+C125)/2</f>
        <v>217.97000833484142</v>
      </c>
      <c r="C130" s="4">
        <f>(E132+A121)</f>
        <v>-1.2531647424800099</v>
      </c>
      <c r="D130" s="8">
        <f>(A132+D131+A124+D131)/2</f>
        <v>379.82084775475039</v>
      </c>
      <c r="E130" s="8">
        <f>(A125+D131+A124)/3</f>
        <v>201.42750696378036</v>
      </c>
      <c r="F130" s="21">
        <f>(O130+P129)/2</f>
        <v>937.00593746787865</v>
      </c>
      <c r="G130" s="5"/>
      <c r="H130" s="21">
        <f>(O130+P129+N129)/3</f>
        <v>931.06814051833635</v>
      </c>
      <c r="I130" s="21"/>
      <c r="J130" s="21"/>
      <c r="K130" s="21"/>
      <c r="L130" s="21"/>
      <c r="M130" s="21"/>
      <c r="N130" s="21">
        <f>((A130+A124)/2)*Q134/Q126</f>
        <v>914.19167300348317</v>
      </c>
      <c r="O130" s="2">
        <f>((A131+A122)/2)*Q134/Q126</f>
        <v>968.40128747715562</v>
      </c>
      <c r="P130" s="2">
        <f>B121*Q134/Q126</f>
        <v>885.25242648874246</v>
      </c>
      <c r="Q130" s="12">
        <f>A121+E132</f>
        <v>-1.2531647424800099</v>
      </c>
      <c r="R130" s="16"/>
      <c r="S130" s="7"/>
      <c r="T130" s="8">
        <f>((T125+T124+T123+T122)/4-T125-T120)*-1</f>
        <v>205.4266299106431</v>
      </c>
      <c r="U130" s="4">
        <f>(U125+V125)/2</f>
        <v>217.91492001622083</v>
      </c>
      <c r="V130" s="4">
        <f>(X132+T121)</f>
        <v>-1.2524637363526949</v>
      </c>
      <c r="W130" s="8">
        <f>(T132+W131+T124+W131)/2</f>
        <v>379.74361857223158</v>
      </c>
      <c r="X130" s="8">
        <f>(T125+W131+T124)/3</f>
        <v>201.38360126447057</v>
      </c>
      <c r="Y130" s="21">
        <f>(AH130+AI129)/2</f>
        <v>936.9809187534629</v>
      </c>
      <c r="Z130" s="5"/>
      <c r="AA130" s="21">
        <f>(AH130+AI129+AG129)/3</f>
        <v>931.04501660844141</v>
      </c>
      <c r="AB130" s="21"/>
      <c r="AC130" s="21"/>
      <c r="AD130" s="21"/>
      <c r="AE130" s="21"/>
      <c r="AF130" s="21"/>
      <c r="AG130" s="21">
        <f>((T130+T124)/2)*AJ134/AJ126</f>
        <v>914.19603700504081</v>
      </c>
      <c r="AH130" s="2">
        <f>((T131+T122)/2)*AJ134/AJ126</f>
        <v>968.36870605455488</v>
      </c>
      <c r="AI130" s="2">
        <f>U121*AJ134/AJ126</f>
        <v>885.24146695515424</v>
      </c>
      <c r="AJ130" s="12">
        <f>T121+X132</f>
        <v>-1.2524637363526949</v>
      </c>
      <c r="AK130" s="16"/>
      <c r="AL130" s="7"/>
    </row>
    <row r="131" spans="1:38" x14ac:dyDescent="0.25">
      <c r="A131" s="8">
        <f>((A125+A124+A123+A122)/4-A125-A120*-1)</f>
        <v>243.87844937405822</v>
      </c>
      <c r="B131" s="4">
        <f>B122/2</f>
        <v>111.49133365238072</v>
      </c>
      <c r="C131" s="4">
        <f>(B121+C125)/2</f>
        <v>216.71684359236144</v>
      </c>
      <c r="D131" s="8">
        <f>(A130+A129+B131)/3</f>
        <v>154.9366015233513</v>
      </c>
      <c r="E131" s="8">
        <f>(A125+A124+B131)/3</f>
        <v>186.94575100679018</v>
      </c>
      <c r="F131" s="5">
        <f>E128+(C135*-1)-E128-E132</f>
        <v>1.9618733890024913</v>
      </c>
      <c r="G131" s="5"/>
      <c r="H131" s="21">
        <f>(P131+N131)/2</f>
        <v>318.21374488306151</v>
      </c>
      <c r="I131" s="5"/>
      <c r="J131" s="5"/>
      <c r="K131" s="5"/>
      <c r="L131" s="5"/>
      <c r="M131" s="5"/>
      <c r="N131" s="21">
        <f>((N130+N129)/2/Q125)</f>
        <v>0.99107109158725792</v>
      </c>
      <c r="O131" s="2">
        <f>((A123+D129)/2)*Q134/Q126</f>
        <v>875.07334600381296</v>
      </c>
      <c r="P131" s="2">
        <f>((B131+E130)/2)*Q134/Q126</f>
        <v>635.43641867453573</v>
      </c>
      <c r="Q131" s="12">
        <f>(Q130*Q128/10)</f>
        <v>-8.9593125327622083</v>
      </c>
      <c r="R131" s="16"/>
      <c r="S131" s="7"/>
      <c r="T131" s="8">
        <f>((T125+T124+T123+T122)/4-T125-T120*-1)</f>
        <v>243.81128632015935</v>
      </c>
      <c r="U131" s="4">
        <f>U122/2</f>
        <v>111.46238748081579</v>
      </c>
      <c r="V131" s="4">
        <f>(U121+V125)/2</f>
        <v>216.66245627986814</v>
      </c>
      <c r="W131" s="8">
        <f>(T130+T129+U131)/3</f>
        <v>154.9128875626092</v>
      </c>
      <c r="X131" s="8">
        <f>(T125+T124+U131)/3</f>
        <v>186.90010123720609</v>
      </c>
      <c r="Y131" s="5">
        <f>X128+(V135*-1)-X128-X132</f>
        <v>1.9538056402546466</v>
      </c>
      <c r="Z131" s="5"/>
      <c r="AA131" s="21">
        <f>(AI131+AG131)/2</f>
        <v>318.21613776563311</v>
      </c>
      <c r="AB131" s="5"/>
      <c r="AC131" s="5"/>
      <c r="AD131" s="5"/>
      <c r="AE131" s="5"/>
      <c r="AF131" s="5"/>
      <c r="AG131" s="21">
        <f>((AG130+AG129)/2/AJ125)</f>
        <v>0.99106299910412976</v>
      </c>
      <c r="AH131" s="2">
        <f>((T123+W129)/2)*AJ134/AJ126</f>
        <v>875.06563470654589</v>
      </c>
      <c r="AI131" s="2">
        <f>((U131+X130)/2)*AJ134/AJ126</f>
        <v>635.44121253216213</v>
      </c>
      <c r="AJ131" s="12">
        <f>(AJ130*AJ128/10)</f>
        <v>-9.0913589552345808</v>
      </c>
      <c r="AK131" s="16"/>
      <c r="AL131" s="7"/>
    </row>
    <row r="132" spans="1:38" x14ac:dyDescent="0.25">
      <c r="A132" s="8">
        <f>(A125+A130)/2</f>
        <v>205.04489689912322</v>
      </c>
      <c r="B132" s="4">
        <f>(A122+B124)/2</f>
        <v>230.50165575964144</v>
      </c>
      <c r="C132" s="4">
        <f>(A121*C124)</f>
        <v>1.1641375671443731E-3</v>
      </c>
      <c r="D132" s="4">
        <f>(A122+B132)/2</f>
        <v>231.75482050212145</v>
      </c>
      <c r="E132" s="4">
        <f>(D132-A120)-(A120-A123)</f>
        <v>-4.6337495009469194</v>
      </c>
      <c r="F132" s="21">
        <f>(N132+H132)/2</f>
        <v>950.18839789351671</v>
      </c>
      <c r="G132" s="5"/>
      <c r="H132" s="31">
        <f>A131*Q134/Q126</f>
        <v>990.47566555599099</v>
      </c>
      <c r="I132" s="5"/>
      <c r="J132" s="5"/>
      <c r="K132" s="5"/>
      <c r="L132" s="5"/>
      <c r="M132" s="5"/>
      <c r="N132" s="21">
        <f>(N130+P129)/2</f>
        <v>909.90113023104243</v>
      </c>
      <c r="O132" s="2">
        <f>((E129+A129)/2)*Q134/Q126</f>
        <v>1214.4289816277683</v>
      </c>
      <c r="P132" s="2">
        <f>((E130+E132/10)/2)*Q134/Q126</f>
        <v>408.09280795417146</v>
      </c>
      <c r="Q132" s="8">
        <f>(Q131+C135)</f>
        <v>-6.2874364208177802</v>
      </c>
      <c r="R132" s="16"/>
      <c r="S132" s="7"/>
      <c r="T132" s="8">
        <f>(T125+T130)/2</f>
        <v>205.00308412220068</v>
      </c>
      <c r="U132" s="4">
        <f>(T122+U124)/2</f>
        <v>230.4395573797477</v>
      </c>
      <c r="V132" s="4">
        <f>(T121*V124)</f>
        <v>1.1615380413442871E-3</v>
      </c>
      <c r="W132" s="4">
        <f>(T122+U132)/2</f>
        <v>231.69202111610036</v>
      </c>
      <c r="X132" s="4">
        <f>(W132-T120)-(T120-T123)</f>
        <v>-4.6408300438919809</v>
      </c>
      <c r="Y132" s="21">
        <f>(AG132+AA132)/2</f>
        <v>950.16776794550583</v>
      </c>
      <c r="Z132" s="5"/>
      <c r="AA132" s="31">
        <f>T131*AJ134/AJ126</f>
        <v>990.44095166230568</v>
      </c>
      <c r="AB132" s="5"/>
      <c r="AC132" s="5"/>
      <c r="AD132" s="5"/>
      <c r="AE132" s="5"/>
      <c r="AF132" s="5"/>
      <c r="AG132" s="21">
        <f>(AG130+AI129)/2</f>
        <v>909.89458422870587</v>
      </c>
      <c r="AH132" s="2">
        <f>((X129+T129)/2)*AJ134/AJ126</f>
        <v>1214.502773416697</v>
      </c>
      <c r="AI132" s="2">
        <f>((X130+X132/10)/2)*AJ134/AJ126</f>
        <v>408.10030141864053</v>
      </c>
      <c r="AJ132" s="8">
        <f>(AJ131+V135)</f>
        <v>-6.4043345515972465</v>
      </c>
      <c r="AK132" s="16"/>
      <c r="AL132" s="7"/>
    </row>
    <row r="133" spans="1:38" x14ac:dyDescent="0.25">
      <c r="A133" s="8">
        <f>(A121*-1)+A128</f>
        <v>-80.202543518720177</v>
      </c>
      <c r="B133" s="8">
        <f>(A134*-1)+A133</f>
        <v>-6.7611695169338191</v>
      </c>
      <c r="C133" s="8">
        <f>(B133/2)+A121</f>
        <v>0</v>
      </c>
      <c r="D133" s="4"/>
      <c r="E133" s="8">
        <f>(C133*A121)+D126</f>
        <v>7.7054831431374708</v>
      </c>
      <c r="F133" s="21">
        <f>A129*Q134/Q134</f>
        <v>147.85100092374162</v>
      </c>
      <c r="G133" s="21">
        <f>(E133+F133)</f>
        <v>155.55648406687908</v>
      </c>
      <c r="H133" s="5">
        <f>(O134+H131)/2</f>
        <v>1073.298545445014</v>
      </c>
      <c r="I133" s="5"/>
      <c r="J133" s="5"/>
      <c r="K133" s="5"/>
      <c r="L133" s="5"/>
      <c r="M133" s="5"/>
      <c r="N133" s="21">
        <f>(O130+H130+O130)/3</f>
        <v>955.95690515754916</v>
      </c>
      <c r="O133" s="2">
        <f>((B124+E132)/2)*Q134/Q126</f>
        <v>453.57473565709284</v>
      </c>
      <c r="P133" s="2">
        <f>D129*Q134/Q126</f>
        <v>885.25242648874246</v>
      </c>
      <c r="Q133" s="44">
        <f>((Q132*Q131*C135*-1)*Q134*Q123*Q124)*0.326</f>
        <v>-464.44759072924057</v>
      </c>
      <c r="R133" s="16"/>
      <c r="S133" s="7"/>
      <c r="T133" s="8">
        <f>(T121*-1)+T128</f>
        <v>-80.157679126571793</v>
      </c>
      <c r="U133" s="8">
        <f>(T134*-1)+T133</f>
        <v>-6.7767326150785721</v>
      </c>
      <c r="V133" s="8">
        <f>(U133/2)+T121</f>
        <v>0</v>
      </c>
      <c r="W133" s="4"/>
      <c r="X133" s="8">
        <f>(V133*T121)+W126</f>
        <v>7.7060090882625261</v>
      </c>
      <c r="Y133" s="21">
        <f>T129*AJ134/AJ134</f>
        <v>147.84964529636872</v>
      </c>
      <c r="Z133" s="21">
        <f>(X133+Y133)</f>
        <v>155.55565438463125</v>
      </c>
      <c r="AA133" s="5">
        <f>(AH134+AA131)/2</f>
        <v>1073.3041058878573</v>
      </c>
      <c r="AB133" s="5"/>
      <c r="AC133" s="5"/>
      <c r="AD133" s="5"/>
      <c r="AE133" s="5"/>
      <c r="AF133" s="5"/>
      <c r="AG133" s="21">
        <f>(AH130+AA130+AH130)/3</f>
        <v>955.92747623918376</v>
      </c>
      <c r="AH133" s="2">
        <f>((U124+X132)/2)*AJ134/AJ126</f>
        <v>453.5461154705057</v>
      </c>
      <c r="AI133" s="2">
        <f>W129*AJ134/AJ126</f>
        <v>885.24146695515424</v>
      </c>
      <c r="AJ133" s="44">
        <f>((AJ132*AJ131*V135*-1)*AJ134*AJ123*AJ124)*0.326</f>
        <v>-270.25798359299989</v>
      </c>
      <c r="AK133" s="16"/>
      <c r="AL133" s="7"/>
    </row>
    <row r="134" spans="1:38" x14ac:dyDescent="0.25">
      <c r="A134" s="8">
        <f>A121+A128</f>
        <v>-73.441374001786357</v>
      </c>
      <c r="B134" s="8">
        <f>(A135+(A133*-1)+A134)</f>
        <v>-146.88274800357271</v>
      </c>
      <c r="C134" s="4">
        <f>(B134/10)</f>
        <v>-14.688274800357272</v>
      </c>
      <c r="D134" s="4"/>
      <c r="E134" s="4">
        <f>((D130+B131)/2)*Q134</f>
        <v>325.24866409152082</v>
      </c>
      <c r="F134" s="5">
        <f>((E129+B131)/2)*Q134/Q126</f>
        <v>1140.5943198681337</v>
      </c>
      <c r="G134" s="5"/>
      <c r="H134" s="5">
        <f>(Q135/2)</f>
        <v>148.73349931080463</v>
      </c>
      <c r="I134" s="5"/>
      <c r="J134" s="5"/>
      <c r="K134" s="5"/>
      <c r="L134" s="5"/>
      <c r="M134" s="5"/>
      <c r="N134" s="21">
        <f>(Q135/2)/Q126</f>
        <v>456.23772794725346</v>
      </c>
      <c r="O134" s="2">
        <f>E129*Q134/Q126</f>
        <v>1828.3833460069663</v>
      </c>
      <c r="P134" s="2">
        <f>((B121+A124)/2)*Q134/Q126</f>
        <v>939.58026313134303</v>
      </c>
      <c r="Q134" s="33">
        <f>ROUND(O127,N135)</f>
        <v>1.3240000000000001</v>
      </c>
      <c r="R134" s="16"/>
      <c r="S134" s="7"/>
      <c r="T134" s="8">
        <f>T121+T128</f>
        <v>-73.380946511493221</v>
      </c>
      <c r="U134" s="8">
        <f>(T135+(T133*-1)+T134)</f>
        <v>-146.76189302298644</v>
      </c>
      <c r="V134" s="4">
        <f>(U134/10)</f>
        <v>-14.676189302298644</v>
      </c>
      <c r="W134" s="4"/>
      <c r="X134" s="4">
        <f>((W130+U131)/2)*AJ134</f>
        <v>179.29019220936229</v>
      </c>
      <c r="Y134" s="5">
        <f>((X129+U131)/2)*AJ134/AJ126</f>
        <v>1140.5943198681334</v>
      </c>
      <c r="Z134" s="5"/>
      <c r="AA134" s="5">
        <f>(AJ135/2)</f>
        <v>81.985919712121444</v>
      </c>
      <c r="AB134" s="5"/>
      <c r="AC134" s="5"/>
      <c r="AD134" s="5"/>
      <c r="AE134" s="5"/>
      <c r="AF134" s="5"/>
      <c r="AG134" s="21">
        <f>(AJ135/2)/AJ126</f>
        <v>456.23772794725346</v>
      </c>
      <c r="AH134" s="2">
        <f>X129*AJ134/AJ126</f>
        <v>1828.3920740100816</v>
      </c>
      <c r="AI134" s="2">
        <f>((U121+T124)/2)*AJ134/AJ126</f>
        <v>939.56179041926396</v>
      </c>
      <c r="AJ134" s="33">
        <f>ROUND(AH127,AG135)</f>
        <v>0.73</v>
      </c>
      <c r="AK134" s="16"/>
      <c r="AL134" s="7"/>
    </row>
    <row r="135" spans="1:38" x14ac:dyDescent="0.25">
      <c r="A135" s="21">
        <f>(A133+A134)</f>
        <v>-153.64391752050653</v>
      </c>
      <c r="B135" s="5"/>
      <c r="C135" s="12">
        <f>INT(C128)-C128+N135</f>
        <v>2.6718761119444281</v>
      </c>
      <c r="D135" s="5"/>
      <c r="E135" s="21" t="s">
        <v>3</v>
      </c>
      <c r="F135" s="5">
        <f>((O135+B131+E129)/3)*Q134/Q126</f>
        <v>2189.2878191356449</v>
      </c>
      <c r="G135" s="5"/>
      <c r="H135" s="5">
        <f>ROUND(H134,2)</f>
        <v>148.72999999999999</v>
      </c>
      <c r="I135" s="5"/>
      <c r="J135" s="5"/>
      <c r="K135" s="5"/>
      <c r="L135" s="5"/>
      <c r="M135" s="5"/>
      <c r="N135" s="5">
        <v>3</v>
      </c>
      <c r="O135" s="2">
        <f>((B121+B131+E129)/3)*Q134/Q126</f>
        <v>1055.4803554083367</v>
      </c>
      <c r="P135" s="21">
        <f>(Q135/Q134)</f>
        <v>224.67295968399489</v>
      </c>
      <c r="Q135" s="2">
        <f>P121*Q126</f>
        <v>297.46699862160926</v>
      </c>
      <c r="R135" s="16"/>
      <c r="S135" s="7"/>
      <c r="T135" s="21">
        <f>(T133+T134)</f>
        <v>-153.53862563806501</v>
      </c>
      <c r="U135" s="5"/>
      <c r="V135" s="12">
        <f>INT(V128)-V128+AG135</f>
        <v>2.6870244036373343</v>
      </c>
      <c r="W135" s="5"/>
      <c r="X135" s="21" t="s">
        <v>3</v>
      </c>
      <c r="Y135" s="5">
        <f>((AH135+U131+X129)/3)*AJ134/AJ126</f>
        <v>2189.6263980501817</v>
      </c>
      <c r="Z135" s="5"/>
      <c r="AA135" s="5">
        <f>ROUND(AA134,2)</f>
        <v>81.99</v>
      </c>
      <c r="AB135" s="5"/>
      <c r="AC135" s="5"/>
      <c r="AD135" s="5"/>
      <c r="AE135" s="5"/>
      <c r="AF135" s="5"/>
      <c r="AG135" s="5">
        <v>3</v>
      </c>
      <c r="AH135" s="2">
        <f>((U121+U131+X129)/3)*AJ134/AJ126</f>
        <v>1055.4767022304736</v>
      </c>
      <c r="AI135" s="21">
        <f>(AJ135/AJ134)</f>
        <v>224.61895811540123</v>
      </c>
      <c r="AJ135" s="2">
        <f>AI121*AJ126</f>
        <v>163.97183942424289</v>
      </c>
      <c r="AK135" s="16"/>
      <c r="AL135" s="7"/>
    </row>
    <row r="136" spans="1:38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 t="s">
        <v>4</v>
      </c>
      <c r="Q136" s="16"/>
      <c r="R136" s="16"/>
      <c r="S136" s="7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 t="s">
        <v>4</v>
      </c>
      <c r="AJ136" s="16"/>
      <c r="AK136" s="16"/>
      <c r="AL136" s="7"/>
    </row>
    <row r="137" spans="1:38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7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7"/>
    </row>
    <row r="138" spans="1:38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7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7"/>
    </row>
    <row r="139" spans="1:38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7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7"/>
    </row>
  </sheetData>
  <protectedRanges>
    <protectedRange sqref="Q9 Q77 AJ77 AJ9" name="نطاق1"/>
  </protectedRange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orabi</dc:creator>
  <cp:lastModifiedBy>orabi abdullah</cp:lastModifiedBy>
  <dcterms:created xsi:type="dcterms:W3CDTF">2013-07-23T04:35:51Z</dcterms:created>
  <dcterms:modified xsi:type="dcterms:W3CDTF">2014-08-14T20:16:09Z</dcterms:modified>
</cp:coreProperties>
</file>