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0" yWindow="-240" windowWidth="15480" windowHeight="9600" activeTab="2"/>
  </bookViews>
  <sheets>
    <sheet name="Chart1" sheetId="4" r:id="rId1"/>
    <sheet name="Chart2" sheetId="5" r:id="rId2"/>
    <sheet name="Sheet1" sheetId="1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H1" i="1" l="1"/>
  <c r="G1" i="1"/>
  <c r="L18" i="1" l="1"/>
  <c r="L11" i="1"/>
  <c r="L10" i="1" s="1"/>
  <c r="L12" i="1"/>
  <c r="I19" i="1" l="1"/>
  <c r="N13" i="1" l="1"/>
  <c r="M13" i="1"/>
  <c r="I22" i="1"/>
  <c r="L22" i="1" s="1"/>
  <c r="M22" i="1" s="1"/>
  <c r="I21" i="1"/>
  <c r="I20" i="1"/>
  <c r="J20" i="1" s="1"/>
  <c r="L20" i="1" s="1"/>
  <c r="J22" i="1" l="1"/>
  <c r="K22" i="1" s="1"/>
  <c r="J21" i="1"/>
  <c r="K20" i="1"/>
  <c r="J19" i="1"/>
  <c r="K21" i="1" l="1"/>
  <c r="L21" i="1"/>
  <c r="M21" i="1" s="1"/>
  <c r="K19" i="1"/>
  <c r="L19" i="1"/>
  <c r="M19" i="1" s="1"/>
  <c r="M20" i="1"/>
  <c r="I10" i="1"/>
  <c r="I8" i="1"/>
  <c r="P20" i="1" l="1"/>
  <c r="Q20" i="1" s="1"/>
  <c r="R19" i="1" s="1"/>
  <c r="N22" i="1"/>
  <c r="O22" i="1" s="1"/>
  <c r="N21" i="1"/>
  <c r="O21" i="1" s="1"/>
  <c r="N19" i="1"/>
  <c r="N20" i="1" s="1"/>
  <c r="O20" i="1" s="1"/>
  <c r="O19" i="1" s="1"/>
  <c r="J8" i="1"/>
  <c r="J10" i="1"/>
  <c r="P22" i="1" l="1"/>
  <c r="Q22" i="1" s="1"/>
  <c r="P21" i="1"/>
  <c r="Q21" i="1" s="1"/>
  <c r="R20" i="1"/>
  <c r="P19" i="1"/>
  <c r="Q19" i="1" s="1"/>
  <c r="K7" i="1"/>
  <c r="I11" i="1" l="1"/>
  <c r="J11" i="1" s="1"/>
  <c r="K8" i="1"/>
  <c r="K9" i="1" s="1"/>
  <c r="K10" i="1"/>
  <c r="F25" i="1"/>
  <c r="E25" i="1"/>
  <c r="E1" i="1" l="1"/>
  <c r="D25" i="1" s="1"/>
  <c r="K11" i="1"/>
  <c r="F1" i="1" s="1"/>
  <c r="I9" i="1"/>
  <c r="J9" i="1" s="1"/>
  <c r="C7" i="1"/>
  <c r="F3" i="1" l="1"/>
  <c r="C25" i="1"/>
  <c r="A24" i="1"/>
  <c r="F24" i="1" s="1"/>
  <c r="B24" i="1"/>
  <c r="D2" i="1" l="1"/>
  <c r="F2" i="1"/>
  <c r="I16" i="1" l="1"/>
  <c r="I12" i="1"/>
  <c r="I15" i="1" s="1"/>
  <c r="F4" i="1"/>
  <c r="E19" i="1"/>
  <c r="A25" i="1" l="1"/>
  <c r="H2" i="1"/>
  <c r="I1" i="1" s="1"/>
  <c r="J1" i="1" s="1"/>
  <c r="K1" i="1" s="1"/>
  <c r="F7" i="1"/>
  <c r="A21" i="1"/>
  <c r="A22" i="1" s="1"/>
  <c r="A23" i="1" s="1"/>
  <c r="F19" i="1"/>
  <c r="F20" i="1" s="1"/>
  <c r="E20" i="1"/>
  <c r="D19" i="1"/>
  <c r="D20" i="1" s="1"/>
  <c r="C19" i="1"/>
  <c r="C20" i="1" s="1"/>
  <c r="B23" i="1" s="1"/>
  <c r="B19" i="1"/>
  <c r="B20" i="1" s="1"/>
  <c r="A19" i="1"/>
  <c r="A20" i="1" s="1"/>
  <c r="G12" i="1"/>
  <c r="B25" i="1" l="1"/>
  <c r="H3" i="1"/>
  <c r="H4" i="1" s="1"/>
  <c r="D3" i="1"/>
  <c r="D4" i="1" s="1"/>
  <c r="I2" i="1" l="1"/>
  <c r="J2" i="1" s="1"/>
  <c r="K2" i="1" s="1"/>
  <c r="I3" i="1" s="1"/>
  <c r="M10" i="1" s="1"/>
  <c r="M11" i="1" s="1"/>
  <c r="D7" i="1"/>
  <c r="D11" i="1" s="1"/>
  <c r="F15" i="1"/>
  <c r="G15" i="1" s="1"/>
  <c r="F11" i="1"/>
  <c r="D5" i="1" l="1"/>
  <c r="D8" i="1" s="1"/>
  <c r="F5" i="1"/>
  <c r="F6" i="1" s="1"/>
  <c r="H5" i="1"/>
  <c r="H6" i="1" s="1"/>
  <c r="C16" i="1" s="1"/>
  <c r="C17" i="1" s="1"/>
  <c r="H7" i="1"/>
  <c r="C2" i="1" s="1"/>
  <c r="H11" i="1" l="1"/>
  <c r="H10" i="1" s="1"/>
  <c r="H8" i="1"/>
  <c r="H9" i="1" s="1"/>
  <c r="D6" i="1"/>
  <c r="F8" i="1"/>
  <c r="F9" i="1" s="1"/>
  <c r="E5" i="1" s="1"/>
  <c r="D10" i="1" l="1"/>
  <c r="C3" i="1" s="1"/>
  <c r="G3" i="1"/>
  <c r="G2" i="1"/>
  <c r="A16" i="1"/>
  <c r="A17" i="1" s="1"/>
  <c r="D9" i="1"/>
  <c r="E3" i="1" s="1"/>
  <c r="B16" i="1"/>
  <c r="F10" i="1"/>
  <c r="E4" i="1" s="1"/>
  <c r="B17" i="1" l="1"/>
  <c r="A18" i="1" s="1"/>
  <c r="B18" i="1"/>
  <c r="F18" i="1" l="1"/>
  <c r="F17" i="1"/>
  <c r="C5" i="1" s="1"/>
  <c r="D16" i="1"/>
  <c r="F16" i="1" l="1"/>
  <c r="D18" i="1"/>
  <c r="C4" i="1"/>
  <c r="B11" i="1" s="1"/>
  <c r="C11" i="1" l="1"/>
  <c r="C10" i="1"/>
  <c r="B5" i="1" l="1"/>
  <c r="A15" i="1"/>
  <c r="B8" i="1"/>
  <c r="G19" i="1" l="1"/>
  <c r="C6" i="1" l="1"/>
  <c r="C8" i="1" l="1"/>
  <c r="D15" i="1" s="1"/>
  <c r="C9" i="1" l="1"/>
  <c r="C15" i="1" s="1"/>
  <c r="B9" i="1" s="1"/>
  <c r="A14" i="1" l="1"/>
  <c r="A11" i="1" s="1"/>
  <c r="B10" i="1"/>
  <c r="B12" i="1"/>
  <c r="B13" i="1"/>
  <c r="A8" i="1"/>
  <c r="A6" i="1"/>
  <c r="A5" i="1" s="1"/>
  <c r="E18" i="1" s="1"/>
  <c r="A10" i="1" l="1"/>
  <c r="C14" i="1"/>
  <c r="B14" i="1" s="1"/>
  <c r="B7" i="1" s="1"/>
  <c r="G18" i="1"/>
  <c r="H18" i="1"/>
  <c r="H17" i="1"/>
  <c r="B6" i="1" l="1"/>
  <c r="A9" i="1" s="1"/>
  <c r="G20" i="1"/>
  <c r="G13" i="1"/>
  <c r="H20" i="1" s="1"/>
  <c r="H16" i="1"/>
  <c r="H15" i="1" s="1"/>
  <c r="I5" i="1" l="1"/>
  <c r="J5" i="1" s="1"/>
  <c r="K5" i="1" s="1"/>
  <c r="I7" i="1"/>
  <c r="G11" i="1"/>
  <c r="G9" i="1" s="1"/>
  <c r="G25" i="1"/>
  <c r="G24" i="1"/>
  <c r="C24" i="1"/>
  <c r="H24" i="1" s="1"/>
  <c r="G16" i="1"/>
  <c r="E23" i="1"/>
  <c r="A3" i="1" l="1"/>
  <c r="G10" i="1"/>
  <c r="G8" i="1" s="1"/>
  <c r="G7" i="1" s="1"/>
  <c r="B1" i="1" l="1"/>
  <c r="O13" i="1" s="1"/>
  <c r="D24" i="1"/>
  <c r="H19" i="1"/>
  <c r="I6" i="1" l="1"/>
  <c r="H25" i="1"/>
  <c r="D23" i="1"/>
  <c r="I4" i="1"/>
  <c r="J4" i="1" s="1"/>
  <c r="A7" i="1"/>
  <c r="B21" i="1" s="1"/>
  <c r="A2" i="1" l="1"/>
  <c r="K4" i="1"/>
  <c r="A13" i="1" s="1"/>
  <c r="A1" i="1" s="1"/>
  <c r="E17" i="1"/>
  <c r="B2" i="1" l="1"/>
  <c r="A12" i="1" s="1"/>
  <c r="P13" i="1"/>
  <c r="B22" i="1"/>
  <c r="G17" i="1"/>
  <c r="G14" i="1" s="1"/>
  <c r="B4" i="1" l="1"/>
  <c r="F13" i="1" s="1"/>
  <c r="B3" i="1"/>
  <c r="A4" i="1" s="1"/>
  <c r="C22" i="1"/>
  <c r="C21" i="1"/>
  <c r="D22" i="1" l="1"/>
  <c r="D21" i="1"/>
  <c r="K15" i="1"/>
  <c r="J16" i="1"/>
  <c r="J17" i="1" s="1"/>
  <c r="E24" i="1"/>
  <c r="I17" i="1"/>
  <c r="I18" i="1" s="1"/>
  <c r="J18" i="1"/>
  <c r="C23" i="1"/>
  <c r="F23" i="1" s="1"/>
  <c r="G23" i="1" s="1"/>
  <c r="H23" i="1" s="1"/>
  <c r="F14" i="1"/>
  <c r="K16" i="1"/>
  <c r="K17" i="1" l="1"/>
  <c r="E21" i="1"/>
  <c r="E22" i="1"/>
  <c r="F22" i="1" l="1"/>
  <c r="G22" i="1" s="1"/>
  <c r="H22" i="1" s="1"/>
  <c r="F21" i="1"/>
  <c r="G21" i="1" s="1"/>
  <c r="H21" i="1" s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<sst xmlns="http://schemas.openxmlformats.org/spreadsheetml/2006/main" count="2" uniqueCount="2">
  <si>
    <t>DAY 2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</si>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</sst>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"/>
    <numFmt numFmtId="168" formatCode="0.0000000"/>
    <numFmt numFmtId="169" formatCode="0E+00"/>
  </numFmts>
  <fonts count="34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22"/>
      <color rgb="FF00B0F0"/>
      <name val="Calibri"/>
      <family val="2"/>
      <scheme val="minor"/>
    </font>
    <font>
      <sz val="28"/>
      <color rgb="FF00B0F0"/>
      <name val="Calibri"/>
      <family val="2"/>
      <scheme val="minor"/>
    </font>
    <font>
      <b/>
      <sz val="36"/>
      <color rgb="FF00B0F0"/>
      <name val="Calibri"/>
      <family val="2"/>
      <scheme val="minor"/>
    </font>
    <font>
      <sz val="36"/>
      <color rgb="FF00B0F0"/>
      <name val="Calibri"/>
      <family val="2"/>
      <scheme val="minor"/>
    </font>
    <font>
      <sz val="2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00B0F0"/>
      <name val="Cambria"/>
      <family val="1"/>
      <scheme val="major"/>
    </font>
    <font>
      <sz val="48"/>
      <color rgb="FF00B0F0"/>
      <name val="Calibri"/>
      <family val="2"/>
      <scheme val="minor"/>
    </font>
    <font>
      <b/>
      <i/>
      <sz val="36"/>
      <color rgb="FF00B0F0"/>
      <name val="Calibri"/>
      <family val="2"/>
      <scheme val="minor"/>
    </font>
    <font>
      <b/>
      <sz val="48"/>
      <color rgb="FF00B0F0"/>
      <name val="Calibri"/>
      <family val="2"/>
      <scheme val="minor"/>
    </font>
    <font>
      <b/>
      <sz val="36"/>
      <color rgb="FF00B0F0"/>
      <name val="Cambria"/>
      <family val="1"/>
      <scheme val="major"/>
    </font>
    <font>
      <b/>
      <i/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rgb="FF00B0F0"/>
      <name val="Calibri"/>
      <family val="2"/>
      <scheme val="minor"/>
    </font>
    <font>
      <b/>
      <sz val="36"/>
      <name val="Cambria"/>
      <family val="1"/>
      <scheme val="major"/>
    </font>
    <font>
      <b/>
      <i/>
      <sz val="36"/>
      <color rgb="FFFF0000"/>
      <name val="Calibri"/>
      <family val="2"/>
      <scheme val="minor"/>
    </font>
    <font>
      <i/>
      <sz val="28"/>
      <color rgb="FFFFFF0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sz val="48"/>
      <color rgb="FFFFFF00"/>
      <name val="Calibri"/>
      <family val="2"/>
      <scheme val="minor"/>
    </font>
    <font>
      <b/>
      <i/>
      <sz val="36"/>
      <name val="Calibri"/>
      <family val="2"/>
      <scheme val="minor"/>
    </font>
    <font>
      <sz val="36"/>
      <name val="Calibri"/>
      <family val="2"/>
      <scheme val="minor"/>
    </font>
    <font>
      <sz val="22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36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7">
    <xf numFmtId="0" fontId="0" fillId="0" borderId="0" xfId="0"/>
    <xf numFmtId="166" fontId="5" fillId="2" borderId="0" xfId="0" applyNumberFormat="1" applyFont="1" applyFill="1" applyAlignment="1" applyProtection="1">
      <protection hidden="1"/>
    </xf>
    <xf numFmtId="164" fontId="5" fillId="2" borderId="0" xfId="0" applyNumberFormat="1" applyFont="1" applyFill="1" applyAlignment="1" applyProtection="1">
      <protection hidden="1"/>
    </xf>
    <xf numFmtId="2" fontId="5" fillId="2" borderId="0" xfId="0" applyNumberFormat="1" applyFont="1" applyFill="1" applyAlignment="1" applyProtection="1">
      <protection hidden="1"/>
    </xf>
    <xf numFmtId="1" fontId="5" fillId="2" borderId="0" xfId="0" applyNumberFormat="1" applyFont="1" applyFill="1" applyAlignment="1" applyProtection="1">
      <protection hidden="1"/>
    </xf>
    <xf numFmtId="165" fontId="5" fillId="2" borderId="0" xfId="0" applyNumberFormat="1" applyFont="1" applyFill="1" applyAlignment="1" applyProtection="1">
      <protection hidden="1"/>
    </xf>
    <xf numFmtId="1" fontId="5" fillId="2" borderId="0" xfId="1" applyNumberFormat="1" applyFont="1" applyFill="1" applyAlignment="1" applyProtection="1">
      <protection hidden="1"/>
    </xf>
    <xf numFmtId="164" fontId="5" fillId="2" borderId="0" xfId="1" applyNumberFormat="1" applyFont="1" applyFill="1" applyAlignment="1" applyProtection="1">
      <protection hidden="1"/>
    </xf>
    <xf numFmtId="2" fontId="7" fillId="2" borderId="0" xfId="0" applyNumberFormat="1" applyFont="1" applyFill="1" applyAlignment="1" applyProtection="1">
      <protection hidden="1"/>
    </xf>
    <xf numFmtId="1" fontId="7" fillId="2" borderId="0" xfId="0" applyNumberFormat="1" applyFont="1" applyFill="1" applyAlignment="1" applyProtection="1">
      <protection hidden="1"/>
    </xf>
    <xf numFmtId="167" fontId="8" fillId="2" borderId="0" xfId="1" applyNumberFormat="1" applyFont="1" applyFill="1" applyBorder="1" applyAlignment="1" applyProtection="1">
      <protection hidden="1"/>
    </xf>
    <xf numFmtId="0" fontId="0" fillId="3" borderId="0" xfId="0" applyFill="1"/>
    <xf numFmtId="0" fontId="4" fillId="3" borderId="0" xfId="0" applyFont="1" applyFill="1"/>
    <xf numFmtId="0" fontId="10" fillId="3" borderId="0" xfId="0" applyFont="1" applyFill="1"/>
    <xf numFmtId="166" fontId="8" fillId="2" borderId="0" xfId="0" applyNumberFormat="1" applyFont="1" applyFill="1" applyBorder="1" applyAlignment="1" applyProtection="1">
      <alignment horizontal="center"/>
      <protection hidden="1"/>
    </xf>
    <xf numFmtId="166" fontId="6" fillId="2" borderId="0" xfId="0" applyNumberFormat="1" applyFont="1" applyFill="1" applyAlignment="1" applyProtection="1">
      <protection hidden="1"/>
    </xf>
    <xf numFmtId="1" fontId="6" fillId="2" borderId="0" xfId="0" applyNumberFormat="1" applyFont="1" applyFill="1" applyBorder="1" applyAlignment="1" applyProtection="1">
      <protection hidden="1"/>
    </xf>
    <xf numFmtId="1" fontId="6" fillId="2" borderId="0" xfId="1" applyNumberFormat="1" applyFont="1" applyFill="1" applyBorder="1" applyAlignment="1" applyProtection="1">
      <protection hidden="1"/>
    </xf>
    <xf numFmtId="164" fontId="7" fillId="2" borderId="0" xfId="0" applyNumberFormat="1" applyFont="1" applyFill="1" applyAlignment="1" applyProtection="1">
      <protection hidden="1"/>
    </xf>
    <xf numFmtId="168" fontId="7" fillId="2" borderId="0" xfId="0" applyNumberFormat="1" applyFont="1" applyFill="1" applyAlignment="1" applyProtection="1">
      <protection hidden="1"/>
    </xf>
    <xf numFmtId="166" fontId="1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Alignment="1" applyProtection="1">
      <protection hidden="1"/>
    </xf>
    <xf numFmtId="167" fontId="6" fillId="2" borderId="0" xfId="1" applyNumberFormat="1" applyFont="1" applyFill="1" applyBorder="1" applyAlignment="1" applyProtection="1">
      <protection hidden="1"/>
    </xf>
    <xf numFmtId="164" fontId="6" fillId="2" borderId="0" xfId="1" applyNumberFormat="1" applyFont="1" applyFill="1" applyBorder="1" applyAlignment="1" applyProtection="1">
      <protection hidden="1"/>
    </xf>
    <xf numFmtId="1" fontId="18" fillId="2" borderId="2" xfId="0" applyNumberFormat="1" applyFont="1" applyFill="1" applyBorder="1" applyAlignment="1" applyProtection="1">
      <protection hidden="1"/>
    </xf>
    <xf numFmtId="1" fontId="6" fillId="7" borderId="3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Alignment="1" applyProtection="1">
      <protection hidden="1"/>
    </xf>
    <xf numFmtId="166" fontId="8" fillId="2" borderId="0" xfId="1" applyNumberFormat="1" applyFont="1" applyFill="1" applyBorder="1" applyAlignment="1" applyProtection="1">
      <protection hidden="1"/>
    </xf>
    <xf numFmtId="166" fontId="7" fillId="2" borderId="0" xfId="1" applyNumberFormat="1" applyFont="1" applyFill="1" applyBorder="1" applyAlignment="1" applyProtection="1">
      <protection hidden="1"/>
    </xf>
    <xf numFmtId="167" fontId="8" fillId="2" borderId="0" xfId="0" applyNumberFormat="1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protection hidden="1"/>
    </xf>
    <xf numFmtId="2" fontId="16" fillId="6" borderId="6" xfId="0" applyNumberFormat="1" applyFont="1" applyFill="1" applyBorder="1" applyAlignment="1" applyProtection="1">
      <alignment horizontal="center"/>
      <protection hidden="1"/>
    </xf>
    <xf numFmtId="0" fontId="11" fillId="2" borderId="4" xfId="0" applyFont="1" applyFill="1" applyBorder="1" applyAlignment="1" applyProtection="1">
      <protection hidden="1"/>
    </xf>
    <xf numFmtId="2" fontId="12" fillId="2" borderId="0" xfId="0" applyNumberFormat="1" applyFont="1" applyFill="1" applyBorder="1" applyAlignment="1" applyProtection="1">
      <protection hidden="1"/>
    </xf>
    <xf numFmtId="0" fontId="15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0" fillId="2" borderId="0" xfId="0" applyFont="1" applyFill="1" applyProtection="1">
      <protection hidden="1"/>
    </xf>
    <xf numFmtId="166" fontId="8" fillId="2" borderId="0" xfId="0" applyNumberFormat="1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1" fontId="8" fillId="2" borderId="0" xfId="0" applyNumberFormat="1" applyFont="1" applyFill="1" applyBorder="1" applyProtection="1">
      <protection hidden="1"/>
    </xf>
    <xf numFmtId="0" fontId="18" fillId="2" borderId="0" xfId="0" applyFont="1" applyFill="1" applyProtection="1">
      <protection hidden="1"/>
    </xf>
    <xf numFmtId="164" fontId="8" fillId="2" borderId="0" xfId="0" applyNumberFormat="1" applyFont="1" applyFill="1" applyBorder="1" applyProtection="1">
      <protection hidden="1"/>
    </xf>
    <xf numFmtId="1" fontId="12" fillId="2" borderId="0" xfId="0" applyNumberFormat="1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2" fontId="8" fillId="2" borderId="0" xfId="0" applyNumberFormat="1" applyFont="1" applyFill="1" applyBorder="1" applyProtection="1">
      <protection hidden="1"/>
    </xf>
    <xf numFmtId="0" fontId="20" fillId="2" borderId="0" xfId="0" applyFont="1" applyFill="1" applyBorder="1" applyProtection="1">
      <protection hidden="1"/>
    </xf>
    <xf numFmtId="0" fontId="19" fillId="5" borderId="3" xfId="0" applyFont="1" applyFill="1" applyBorder="1" applyProtection="1">
      <protection hidden="1"/>
    </xf>
    <xf numFmtId="0" fontId="17" fillId="5" borderId="3" xfId="0" applyFont="1" applyFill="1" applyBorder="1" applyProtection="1">
      <protection hidden="1"/>
    </xf>
    <xf numFmtId="166" fontId="13" fillId="2" borderId="0" xfId="0" applyNumberFormat="1" applyFont="1" applyFill="1" applyBorder="1" applyProtection="1">
      <protection hidden="1"/>
    </xf>
    <xf numFmtId="0" fontId="18" fillId="2" borderId="0" xfId="0" applyFont="1" applyFill="1" applyBorder="1" applyProtection="1">
      <protection hidden="1"/>
    </xf>
    <xf numFmtId="166" fontId="8" fillId="2" borderId="0" xfId="1" applyNumberFormat="1" applyFont="1" applyFill="1" applyAlignment="1" applyProtection="1">
      <alignment horizontal="center"/>
      <protection hidden="1"/>
    </xf>
    <xf numFmtId="1" fontId="8" fillId="2" borderId="0" xfId="0" applyNumberFormat="1" applyFont="1" applyFill="1" applyProtection="1">
      <protection hidden="1"/>
    </xf>
    <xf numFmtId="0" fontId="12" fillId="2" borderId="0" xfId="0" applyFont="1" applyFill="1" applyProtection="1">
      <protection hidden="1"/>
    </xf>
    <xf numFmtId="1" fontId="12" fillId="2" borderId="0" xfId="0" applyNumberFormat="1" applyFont="1" applyFill="1" applyProtection="1">
      <protection hidden="1"/>
    </xf>
    <xf numFmtId="169" fontId="12" fillId="2" borderId="0" xfId="0" applyNumberFormat="1" applyFont="1" applyFill="1" applyProtection="1">
      <protection hidden="1"/>
    </xf>
    <xf numFmtId="166" fontId="8" fillId="2" borderId="0" xfId="0" applyNumberFormat="1" applyFont="1" applyFill="1" applyAlignment="1" applyProtection="1">
      <alignment horizontal="center"/>
      <protection hidden="1"/>
    </xf>
    <xf numFmtId="164" fontId="4" fillId="2" borderId="0" xfId="0" applyNumberFormat="1" applyFont="1" applyFill="1" applyProtection="1">
      <protection hidden="1"/>
    </xf>
    <xf numFmtId="166" fontId="4" fillId="2" borderId="0" xfId="0" applyNumberFormat="1" applyFont="1" applyFill="1" applyProtection="1">
      <protection hidden="1"/>
    </xf>
    <xf numFmtId="0" fontId="4" fillId="2" borderId="0" xfId="0" applyFont="1" applyFill="1" applyProtection="1">
      <protection hidden="1"/>
    </xf>
    <xf numFmtId="2" fontId="22" fillId="2" borderId="1" xfId="0" applyNumberFormat="1" applyFont="1" applyFill="1" applyBorder="1" applyAlignment="1" applyProtection="1">
      <alignment horizontal="center"/>
      <protection hidden="1"/>
    </xf>
    <xf numFmtId="2" fontId="22" fillId="2" borderId="1" xfId="0" applyNumberFormat="1" applyFont="1" applyFill="1" applyBorder="1" applyAlignment="1" applyProtection="1">
      <protection hidden="1"/>
    </xf>
    <xf numFmtId="165" fontId="23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Border="1" applyAlignment="1" applyProtection="1">
      <alignment horizontal="center"/>
      <protection hidden="1"/>
    </xf>
    <xf numFmtId="165" fontId="13" fillId="7" borderId="1" xfId="0" applyNumberFormat="1" applyFont="1" applyFill="1" applyBorder="1" applyAlignment="1" applyProtection="1">
      <alignment horizontal="center"/>
      <protection hidden="1"/>
    </xf>
    <xf numFmtId="165" fontId="12" fillId="2" borderId="0" xfId="0" applyNumberFormat="1" applyFont="1" applyFill="1" applyProtection="1">
      <protection hidden="1"/>
    </xf>
    <xf numFmtId="2" fontId="12" fillId="2" borderId="0" xfId="0" applyNumberFormat="1" applyFont="1" applyFill="1" applyProtection="1">
      <protection hidden="1"/>
    </xf>
    <xf numFmtId="2" fontId="16" fillId="7" borderId="0" xfId="0" applyNumberFormat="1" applyFont="1" applyFill="1" applyBorder="1" applyAlignment="1" applyProtection="1">
      <alignment horizontal="center"/>
      <protection hidden="1"/>
    </xf>
    <xf numFmtId="165" fontId="18" fillId="2" borderId="0" xfId="0" applyNumberFormat="1" applyFont="1" applyFill="1" applyAlignment="1" applyProtection="1">
      <alignment horizontal="center"/>
      <protection hidden="1"/>
    </xf>
    <xf numFmtId="1" fontId="17" fillId="7" borderId="5" xfId="0" applyNumberFormat="1" applyFont="1" applyFill="1" applyBorder="1" applyAlignment="1" applyProtection="1">
      <alignment horizontal="center"/>
      <protection hidden="1"/>
    </xf>
    <xf numFmtId="166" fontId="22" fillId="7" borderId="1" xfId="0" applyNumberFormat="1" applyFont="1" applyFill="1" applyBorder="1" applyProtection="1">
      <protection hidden="1"/>
    </xf>
    <xf numFmtId="0" fontId="10" fillId="0" borderId="0" xfId="0" applyFont="1"/>
    <xf numFmtId="2" fontId="17" fillId="5" borderId="1" xfId="0" applyNumberFormat="1" applyFont="1" applyFill="1" applyBorder="1" applyProtection="1">
      <protection hidden="1"/>
    </xf>
    <xf numFmtId="2" fontId="21" fillId="2" borderId="3" xfId="0" applyNumberFormat="1" applyFont="1" applyFill="1" applyBorder="1" applyAlignment="1" applyProtection="1">
      <alignment horizontal="center"/>
      <protection hidden="1"/>
    </xf>
    <xf numFmtId="2" fontId="21" fillId="2" borderId="5" xfId="0" applyNumberFormat="1" applyFont="1" applyFill="1" applyBorder="1" applyAlignment="1" applyProtection="1">
      <alignment horizontal="center"/>
      <protection hidden="1"/>
    </xf>
    <xf numFmtId="2" fontId="17" fillId="2" borderId="0" xfId="0" applyNumberFormat="1" applyFont="1" applyFill="1" applyBorder="1" applyAlignment="1" applyProtection="1">
      <protection hidden="1"/>
    </xf>
    <xf numFmtId="2" fontId="25" fillId="9" borderId="0" xfId="0" applyNumberFormat="1" applyFont="1" applyFill="1" applyAlignment="1" applyProtection="1">
      <protection hidden="1"/>
    </xf>
    <xf numFmtId="2" fontId="9" fillId="4" borderId="3" xfId="0" applyNumberFormat="1" applyFont="1" applyFill="1" applyBorder="1" applyAlignment="1" applyProtection="1">
      <protection hidden="1"/>
    </xf>
    <xf numFmtId="1" fontId="5" fillId="7" borderId="1" xfId="0" applyNumberFormat="1" applyFont="1" applyFill="1" applyBorder="1" applyAlignment="1" applyProtection="1">
      <protection hidden="1"/>
    </xf>
    <xf numFmtId="166" fontId="26" fillId="9" borderId="0" xfId="0" applyNumberFormat="1" applyFont="1" applyFill="1" applyProtection="1">
      <protection hidden="1"/>
    </xf>
    <xf numFmtId="166" fontId="12" fillId="7" borderId="0" xfId="0" applyNumberFormat="1" applyFont="1" applyFill="1" applyProtection="1">
      <protection hidden="1"/>
    </xf>
    <xf numFmtId="165" fontId="27" fillId="8" borderId="3" xfId="0" applyNumberFormat="1" applyFont="1" applyFill="1" applyBorder="1" applyProtection="1">
      <protection hidden="1"/>
    </xf>
    <xf numFmtId="165" fontId="28" fillId="8" borderId="2" xfId="0" applyNumberFormat="1" applyFont="1" applyFill="1" applyBorder="1" applyAlignment="1" applyProtection="1">
      <alignment horizontal="center"/>
      <protection hidden="1"/>
    </xf>
    <xf numFmtId="165" fontId="28" fillId="8" borderId="1" xfId="0" applyNumberFormat="1" applyFont="1" applyFill="1" applyBorder="1" applyAlignment="1" applyProtection="1">
      <alignment horizontal="center"/>
      <protection hidden="1"/>
    </xf>
    <xf numFmtId="1" fontId="29" fillId="8" borderId="0" xfId="0" applyNumberFormat="1" applyFont="1" applyFill="1" applyAlignment="1" applyProtection="1">
      <protection hidden="1"/>
    </xf>
    <xf numFmtId="0" fontId="28" fillId="8" borderId="0" xfId="0" applyFont="1" applyFill="1" applyBorder="1" applyProtection="1">
      <protection hidden="1"/>
    </xf>
    <xf numFmtId="2" fontId="30" fillId="2" borderId="0" xfId="0" applyNumberFormat="1" applyFont="1" applyFill="1" applyAlignment="1" applyProtection="1">
      <protection hidden="1"/>
    </xf>
    <xf numFmtId="2" fontId="30" fillId="2" borderId="0" xfId="0" applyNumberFormat="1" applyFont="1" applyFill="1" applyBorder="1" applyAlignment="1" applyProtection="1">
      <protection hidden="1"/>
    </xf>
    <xf numFmtId="167" fontId="30" fillId="2" borderId="0" xfId="0" applyNumberFormat="1" applyFont="1" applyFill="1" applyAlignment="1" applyProtection="1">
      <protection hidden="1"/>
    </xf>
    <xf numFmtId="167" fontId="31" fillId="2" borderId="0" xfId="0" applyNumberFormat="1" applyFont="1" applyFill="1" applyBorder="1" applyAlignment="1" applyProtection="1">
      <protection hidden="1"/>
    </xf>
    <xf numFmtId="165" fontId="32" fillId="2" borderId="0" xfId="0" applyNumberFormat="1" applyFont="1" applyFill="1" applyBorder="1" applyAlignment="1" applyProtection="1">
      <protection hidden="1"/>
    </xf>
    <xf numFmtId="165" fontId="30" fillId="2" borderId="0" xfId="0" applyNumberFormat="1" applyFont="1" applyFill="1" applyAlignment="1" applyProtection="1">
      <protection hidden="1"/>
    </xf>
    <xf numFmtId="166" fontId="32" fillId="2" borderId="0" xfId="0" applyNumberFormat="1" applyFont="1" applyFill="1" applyBorder="1" applyAlignment="1" applyProtection="1">
      <alignment horizontal="center"/>
      <protection hidden="1"/>
    </xf>
    <xf numFmtId="166" fontId="30" fillId="2" borderId="0" xfId="0" applyNumberFormat="1" applyFont="1" applyFill="1" applyAlignment="1" applyProtection="1">
      <protection hidden="1"/>
    </xf>
    <xf numFmtId="164" fontId="31" fillId="2" borderId="0" xfId="0" applyNumberFormat="1" applyFont="1" applyFill="1" applyBorder="1" applyAlignment="1" applyProtection="1">
      <protection hidden="1"/>
    </xf>
    <xf numFmtId="2" fontId="16" fillId="2" borderId="0" xfId="0" applyNumberFormat="1" applyFont="1" applyFill="1" applyBorder="1" applyAlignment="1" applyProtection="1">
      <protection hidden="1"/>
    </xf>
    <xf numFmtId="165" fontId="33" fillId="2" borderId="0" xfId="0" applyNumberFormat="1" applyFont="1" applyFill="1" applyBorder="1" applyAlignment="1" applyProtection="1">
      <protection hidden="1"/>
    </xf>
    <xf numFmtId="2" fontId="18" fillId="2" borderId="0" xfId="0" applyNumberFormat="1" applyFont="1" applyFill="1" applyBorder="1" applyAlignment="1" applyProtection="1">
      <protection hidden="1"/>
    </xf>
    <xf numFmtId="2" fontId="33" fillId="2" borderId="0" xfId="0" applyNumberFormat="1" applyFont="1" applyFill="1" applyBorder="1" applyAlignment="1" applyProtection="1">
      <protection hidden="1"/>
    </xf>
    <xf numFmtId="164" fontId="32" fillId="2" borderId="0" xfId="0" applyNumberFormat="1" applyFont="1" applyFill="1" applyBorder="1" applyAlignment="1" applyProtection="1">
      <protection hidden="1"/>
    </xf>
    <xf numFmtId="164" fontId="32" fillId="2" borderId="0" xfId="1" applyNumberFormat="1" applyFont="1" applyFill="1" applyAlignment="1" applyProtection="1">
      <protection hidden="1"/>
    </xf>
    <xf numFmtId="166" fontId="32" fillId="2" borderId="0" xfId="0" applyNumberFormat="1" applyFont="1" applyFill="1" applyAlignment="1" applyProtection="1">
      <protection hidden="1"/>
    </xf>
    <xf numFmtId="166" fontId="32" fillId="2" borderId="0" xfId="1" applyNumberFormat="1" applyFont="1" applyFill="1" applyAlignment="1" applyProtection="1">
      <protection hidden="1"/>
    </xf>
    <xf numFmtId="166" fontId="32" fillId="2" borderId="0" xfId="1" applyNumberFormat="1" applyFont="1" applyFill="1" applyAlignment="1" applyProtection="1">
      <alignment horizontal="center"/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Sheet1!$A$1:$A$23</c:f>
              <c:numCache>
                <c:formatCode>General</c:formatCode>
                <c:ptCount val="23"/>
                <c:pt idx="0" formatCode="0.00">
                  <c:v>128.50393374327919</c:v>
                </c:pt>
                <c:pt idx="1">
                  <c:v>130.24515625000001</c:v>
                </c:pt>
                <c:pt idx="2" formatCode="0.00">
                  <c:v>125.23088863498108</c:v>
                </c:pt>
                <c:pt idx="3">
                  <c:v>126.91507459011309</c:v>
                </c:pt>
                <c:pt idx="4" formatCode="0.00">
                  <c:v>126.95073572224977</c:v>
                </c:pt>
                <c:pt idx="5" formatCode="0.00">
                  <c:v>9.8663401896646491E-2</c:v>
                </c:pt>
                <c:pt idx="6" formatCode="0.000">
                  <c:v>127.49254176127131</c:v>
                </c:pt>
                <c:pt idx="7" formatCode="0.0000">
                  <c:v>126.88170096957134</c:v>
                </c:pt>
                <c:pt idx="8" formatCode="0.00">
                  <c:v>128.15568924193505</c:v>
                </c:pt>
                <c:pt idx="9" formatCode="0.00">
                  <c:v>127.52912101996219</c:v>
                </c:pt>
                <c:pt idx="10" formatCode="0.00">
                  <c:v>2.962864921821216E-2</c:v>
                </c:pt>
                <c:pt idx="11" formatCode="0.00">
                  <c:v>2.7786918777466654</c:v>
                </c:pt>
                <c:pt idx="12" formatCode="0.00">
                  <c:v>129.20042274596753</c:v>
                </c:pt>
                <c:pt idx="13" formatCode="0.00">
                  <c:v>6.175834164795134</c:v>
                </c:pt>
                <c:pt idx="14" formatCode="0.00">
                  <c:v>126.85207232035313</c:v>
                </c:pt>
                <c:pt idx="15" formatCode="0.0000">
                  <c:v>120.5903317799835</c:v>
                </c:pt>
                <c:pt idx="16" formatCode="0.0000">
                  <c:v>120.6217339799835</c:v>
                </c:pt>
                <c:pt idx="17" formatCode="0.0000">
                  <c:v>126.49461900567678</c:v>
                </c:pt>
                <c:pt idx="18" formatCode="0.0000">
                  <c:v>128.91733196951535</c:v>
                </c:pt>
                <c:pt idx="19" formatCode="0.0000">
                  <c:v>128.91733196951535</c:v>
                </c:pt>
                <c:pt idx="20" formatCode="0.0000">
                  <c:v>132.13399999999999</c:v>
                </c:pt>
                <c:pt idx="21" formatCode="0.0000">
                  <c:v>132.13399999999999</c:v>
                </c:pt>
                <c:pt idx="22" formatCode="0.0000">
                  <c:v>132.13399999999999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Sheet1!$B$1:$B$23</c:f>
              <c:numCache>
                <c:formatCode>General</c:formatCode>
                <c:ptCount val="23"/>
                <c:pt idx="0" formatCode="0.00">
                  <c:v>126.76304355830182</c:v>
                </c:pt>
                <c:pt idx="1">
                  <c:v>126.86741118913014</c:v>
                </c:pt>
                <c:pt idx="2">
                  <c:v>126.45305919207529</c:v>
                </c:pt>
                <c:pt idx="3" formatCode="0.00">
                  <c:v>130.30781289770886</c:v>
                </c:pt>
                <c:pt idx="4" formatCode="0.00">
                  <c:v>3.7253255997544414</c:v>
                </c:pt>
                <c:pt idx="5" formatCode="0.000000">
                  <c:v>129.42273535455217</c:v>
                </c:pt>
                <c:pt idx="6" formatCode="0.000">
                  <c:v>128.95135001232958</c:v>
                </c:pt>
                <c:pt idx="7" formatCode="0.00">
                  <c:v>128.24233074038909</c:v>
                </c:pt>
                <c:pt idx="8" formatCode="0.0000">
                  <c:v>122.99777956721721</c:v>
                </c:pt>
                <c:pt idx="9" formatCode="0.0000">
                  <c:v>135.6595423372539</c:v>
                </c:pt>
                <c:pt idx="10" formatCode="0.0000">
                  <c:v>1.8625659832464976</c:v>
                </c:pt>
                <c:pt idx="11" formatCode="0.000000">
                  <c:v>120.48274359819445</c:v>
                </c:pt>
                <c:pt idx="12" formatCode="0.000000">
                  <c:v>130.97641857718315</c:v>
                </c:pt>
                <c:pt idx="13" formatCode="0.0000">
                  <c:v>1.626970128765922</c:v>
                </c:pt>
                <c:pt idx="15" formatCode="0.0000">
                  <c:v>129.55800775030454</c:v>
                </c:pt>
                <c:pt idx="16" formatCode="0.0000">
                  <c:v>129.91354041089923</c:v>
                </c:pt>
                <c:pt idx="17" formatCode="0.0000">
                  <c:v>126.33758401655773</c:v>
                </c:pt>
                <c:pt idx="18" formatCode="0.0000">
                  <c:v>129.33442708333334</c:v>
                </c:pt>
                <c:pt idx="19" formatCode="0.0000">
                  <c:v>129.33442708333334</c:v>
                </c:pt>
                <c:pt idx="20" formatCode="0.0000">
                  <c:v>127.51083139061674</c:v>
                </c:pt>
                <c:pt idx="21" formatCode="0.0000">
                  <c:v>127.22362092594794</c:v>
                </c:pt>
                <c:pt idx="22" formatCode="0.0000">
                  <c:v>129.87247507521266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Sheet1!$C$1:$C$23</c:f>
              <c:numCache>
                <c:formatCode>0.0000</c:formatCode>
                <c:ptCount val="23"/>
                <c:pt idx="0" formatCode="0.000">
                  <c:v>132.13399999999999</c:v>
                </c:pt>
                <c:pt idx="1">
                  <c:v>1.087276912062805</c:v>
                </c:pt>
                <c:pt idx="2">
                  <c:v>133.91273321000824</c:v>
                </c:pt>
                <c:pt idx="3">
                  <c:v>130.10489672363559</c:v>
                </c:pt>
                <c:pt idx="4" formatCode="0.00">
                  <c:v>128.24233074038909</c:v>
                </c:pt>
                <c:pt idx="5" formatCode="0.000000">
                  <c:v>-6.871700837675121E-2</c:v>
                </c:pt>
                <c:pt idx="6" formatCode="0.00">
                  <c:v>0</c:v>
                </c:pt>
                <c:pt idx="7" formatCode="0.00">
                  <c:v>-0.13871381957394829</c:v>
                </c:pt>
                <c:pt idx="8" formatCode="0.00000">
                  <c:v>0.50953199870163413</c:v>
                </c:pt>
                <c:pt idx="9" formatCode="0.00">
                  <c:v>131.04970548331809</c:v>
                </c:pt>
                <c:pt idx="10" formatCode="0.00">
                  <c:v>127.32437988356365</c:v>
                </c:pt>
                <c:pt idx="11" formatCode="0.000">
                  <c:v>1.5</c:v>
                </c:pt>
                <c:pt idx="12" formatCode="0.00">
                  <c:v>1</c:v>
                </c:pt>
                <c:pt idx="13" formatCode="0.00000">
                  <c:v>1.3913742742853465</c:v>
                </c:pt>
                <c:pt idx="14" formatCode="0.00000">
                  <c:v>-0.50953199870163413</c:v>
                </c:pt>
                <c:pt idx="15">
                  <c:v>128.86441251938513</c:v>
                </c:pt>
                <c:pt idx="16">
                  <c:v>128.94858262614764</c:v>
                </c:pt>
                <c:pt idx="18">
                  <c:v>129.87247507521266</c:v>
                </c:pt>
                <c:pt idx="19">
                  <c:v>129.87247507521266</c:v>
                </c:pt>
                <c:pt idx="20">
                  <c:v>132.43229576663785</c:v>
                </c:pt>
                <c:pt idx="21">
                  <c:v>134.68395111697239</c:v>
                </c:pt>
                <c:pt idx="22">
                  <c:v>129.23175106982194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Sheet1!$D$1:$D$23</c:f>
              <c:numCache>
                <c:formatCode>0.000</c:formatCode>
                <c:ptCount val="23"/>
                <c:pt idx="0">
                  <c:v>128.13</c:v>
                </c:pt>
                <c:pt idx="1">
                  <c:v>3.9999999999906777E-3</c:v>
                </c:pt>
                <c:pt idx="2" formatCode="0.0000">
                  <c:v>130.13200000000001</c:v>
                </c:pt>
                <c:pt idx="3">
                  <c:v>0.96039999999999992</c:v>
                </c:pt>
                <c:pt idx="4" formatCode="0.00000">
                  <c:v>3.1402199999995523E-2</c:v>
                </c:pt>
                <c:pt idx="5" formatCode="0">
                  <c:v>7.5396682200164964</c:v>
                </c:pt>
                <c:pt idx="6" formatCode="0">
                  <c:v>0.96039999999999992</c:v>
                </c:pt>
                <c:pt idx="7">
                  <c:v>132.16540219999999</c:v>
                </c:pt>
                <c:pt idx="8">
                  <c:v>124.62573397998349</c:v>
                </c:pt>
                <c:pt idx="9">
                  <c:v>135.66006422001649</c:v>
                </c:pt>
                <c:pt idx="10">
                  <c:v>128.120396</c:v>
                </c:pt>
                <c:pt idx="11" formatCode="0">
                  <c:v>0</c:v>
                </c:pt>
                <c:pt idx="12" formatCode="0">
                  <c:v>0</c:v>
                </c:pt>
                <c:pt idx="13" formatCode="0">
                  <c:v>0</c:v>
                </c:pt>
                <c:pt idx="14" formatCode="0.000000">
                  <c:v>-3.4998405598598542E-2</c:v>
                </c:pt>
                <c:pt idx="15" formatCode="0.0000">
                  <c:v>0.15703498911905456</c:v>
                </c:pt>
                <c:pt idx="17" formatCode="0.0000">
                  <c:v>126.41629658118369</c:v>
                </c:pt>
                <c:pt idx="18" formatCode="0.0000">
                  <c:v>131.73111272563798</c:v>
                </c:pt>
                <c:pt idx="19" formatCode="0.0000">
                  <c:v>131.73111272563798</c:v>
                </c:pt>
                <c:pt idx="20" formatCode="0.0000">
                  <c:v>125.1415452183391</c:v>
                </c:pt>
                <c:pt idx="21" formatCode="0.0000">
                  <c:v>122.49572193008083</c:v>
                </c:pt>
                <c:pt idx="22" formatCode="0.0000">
                  <c:v>128.15568924193505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Sheet1!$E$1:$E$23</c:f>
              <c:numCache>
                <c:formatCode>0.0000</c:formatCode>
                <c:ptCount val="23"/>
                <c:pt idx="0" formatCode="0.00">
                  <c:v>131.73111272563798</c:v>
                </c:pt>
                <c:pt idx="1">
                  <c:v>2</c:v>
                </c:pt>
                <c:pt idx="2">
                  <c:v>126.37306498999175</c:v>
                </c:pt>
                <c:pt idx="3">
                  <c:v>131.13299658402735</c:v>
                </c:pt>
                <c:pt idx="4" formatCode="0.00">
                  <c:v>130.81852925911926</c:v>
                </c:pt>
                <c:pt idx="6" formatCode="0">
                  <c:v>-39</c:v>
                </c:pt>
                <c:pt idx="7" formatCode="0.00">
                  <c:v>4</c:v>
                </c:pt>
                <c:pt idx="8" formatCode="0.00">
                  <c:v>4</c:v>
                </c:pt>
                <c:pt idx="9" formatCode="0.00">
                  <c:v>1</c:v>
                </c:pt>
                <c:pt idx="10" formatCode="0.00">
                  <c:v>0</c:v>
                </c:pt>
                <c:pt idx="11" formatCode="0">
                  <c:v>-39</c:v>
                </c:pt>
                <c:pt idx="12" formatCode="0">
                  <c:v>-39</c:v>
                </c:pt>
                <c:pt idx="13" formatCode="0">
                  <c:v>-38</c:v>
                </c:pt>
                <c:pt idx="14" formatCode="0.00000">
                  <c:v>0</c:v>
                </c:pt>
                <c:pt idx="15">
                  <c:v>1.8</c:v>
                </c:pt>
                <c:pt idx="16">
                  <c:v>127.49254176127131</c:v>
                </c:pt>
                <c:pt idx="17">
                  <c:v>126.95073572224977</c:v>
                </c:pt>
                <c:pt idx="18">
                  <c:v>128.13</c:v>
                </c:pt>
                <c:pt idx="19">
                  <c:v>128.13</c:v>
                </c:pt>
                <c:pt idx="20">
                  <c:v>136.29005072438781</c:v>
                </c:pt>
                <c:pt idx="21">
                  <c:v>139.98259074277797</c:v>
                </c:pt>
                <c:pt idx="22">
                  <c:v>127.52912101996219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Sheet1!$F$1:$F$23</c:f>
              <c:numCache>
                <c:formatCode>0.000</c:formatCode>
                <c:ptCount val="23"/>
                <c:pt idx="0" formatCode="0.00">
                  <c:v>129.87247507521266</c:v>
                </c:pt>
                <c:pt idx="1">
                  <c:v>0.85863765042532236</c:v>
                </c:pt>
                <c:pt idx="2" formatCode="0.00000">
                  <c:v>130.80179390042531</c:v>
                </c:pt>
                <c:pt idx="3">
                  <c:v>0.75946182987240718</c:v>
                </c:pt>
                <c:pt idx="4" formatCode="0.00000">
                  <c:v>0.35553266059467981</c:v>
                </c:pt>
                <c:pt idx="5" formatCode="0.0000">
                  <c:v>0.3144673249081158</c:v>
                </c:pt>
                <c:pt idx="6" formatCode="0.0000">
                  <c:v>0.75946182987240718</c:v>
                </c:pt>
                <c:pt idx="7" formatCode="0.00">
                  <c:v>132.08664538623268</c:v>
                </c:pt>
                <c:pt idx="8" formatCode="0.00">
                  <c:v>131.77217806132455</c:v>
                </c:pt>
                <c:pt idx="9" formatCode="0.00">
                  <c:v>130.17934778182206</c:v>
                </c:pt>
                <c:pt idx="10" formatCode="0.00">
                  <c:v>129.86488045691394</c:v>
                </c:pt>
                <c:pt idx="11" formatCode="0">
                  <c:v>-1</c:v>
                </c:pt>
                <c:pt idx="12" formatCode="0.00">
                  <c:v>128.78078128121456</c:v>
                </c:pt>
                <c:pt idx="13" formatCode="0.00">
                  <c:v>128.03227462398377</c:v>
                </c:pt>
                <c:pt idx="14" formatCode="0">
                  <c:v>1.1121795085638897</c:v>
                </c:pt>
                <c:pt idx="15" formatCode="0.0000">
                  <c:v>405.90000000094392</c:v>
                </c:pt>
                <c:pt idx="16" formatCode="0.0000">
                  <c:v>126.65184918602098</c:v>
                </c:pt>
                <c:pt idx="17" formatCode="0.0000">
                  <c:v>126.18074397634639</c:v>
                </c:pt>
                <c:pt idx="18" formatCode="0.0000">
                  <c:v>132.13399999999999</c:v>
                </c:pt>
                <c:pt idx="19" formatCode="0.0000">
                  <c:v>132.13399999999999</c:v>
                </c:pt>
                <c:pt idx="20" formatCode="0.0000">
                  <c:v>130.71579797136346</c:v>
                </c:pt>
                <c:pt idx="21" formatCode="0.0000">
                  <c:v>126.13376660128709</c:v>
                </c:pt>
                <c:pt idx="22" formatCode="0.0000">
                  <c:v>130.36051448265485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Sheet1!$G$1:$G$23</c:f>
              <c:numCache>
                <c:formatCode>0.0000</c:formatCode>
                <c:ptCount val="23"/>
                <c:pt idx="0" formatCode="0.00">
                  <c:v>129.33442708333334</c:v>
                </c:pt>
                <c:pt idx="1">
                  <c:v>129.19311312416033</c:v>
                </c:pt>
                <c:pt idx="2">
                  <c:v>129.14019367403012</c:v>
                </c:pt>
                <c:pt idx="6" formatCode="0">
                  <c:v>131.61109717929256</c:v>
                </c:pt>
                <c:pt idx="7" formatCode="0">
                  <c:v>129.00712542433402</c:v>
                </c:pt>
                <c:pt idx="8" formatCode="0">
                  <c:v>125.9330471265105</c:v>
                </c:pt>
                <c:pt idx="9" formatCode="0">
                  <c:v>127.97694838910449</c:v>
                </c:pt>
                <c:pt idx="10" formatCode="0">
                  <c:v>127.97694838910449</c:v>
                </c:pt>
                <c:pt idx="11" formatCode="0">
                  <c:v>1.0162300627931342</c:v>
                </c:pt>
                <c:pt idx="12" formatCode="0">
                  <c:v>129.00712542433402</c:v>
                </c:pt>
                <c:pt idx="13" formatCode="0.00000">
                  <c:v>8.4501328053404406E-2</c:v>
                </c:pt>
                <c:pt idx="14" formatCode="0.00000">
                  <c:v>7.1290081219365226E-3</c:v>
                </c:pt>
                <c:pt idx="15">
                  <c:v>126.94280735687023</c:v>
                </c:pt>
                <c:pt idx="16">
                  <c:v>533.39254176221527</c:v>
                </c:pt>
                <c:pt idx="17">
                  <c:v>532.85073572319368</c:v>
                </c:pt>
                <c:pt idx="18">
                  <c:v>132.13399999999999</c:v>
                </c:pt>
                <c:pt idx="19">
                  <c:v>126.94677135387496</c:v>
                </c:pt>
                <c:pt idx="20">
                  <c:v>139.19603149431236</c:v>
                </c:pt>
                <c:pt idx="21">
                  <c:v>143.31210447587773</c:v>
                </c:pt>
                <c:pt idx="22">
                  <c:v>126.74586674608672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Sheet1!$H$1:$H$23</c:f>
              <c:numCache>
                <c:formatCode>0.000</c:formatCode>
                <c:ptCount val="23"/>
                <c:pt idx="0" formatCode="0.00">
                  <c:v>128.91733196951535</c:v>
                </c:pt>
                <c:pt idx="1">
                  <c:v>0.41709511381799302</c:v>
                </c:pt>
                <c:pt idx="2" formatCode="0.0000">
                  <c:v>129.12587952642434</c:v>
                </c:pt>
                <c:pt idx="3">
                  <c:v>0.26223614207270174</c:v>
                </c:pt>
                <c:pt idx="4" formatCode="0.0000000">
                  <c:v>8.4170106762502458E-2</c:v>
                </c:pt>
                <c:pt idx="5" formatCode="0.0000">
                  <c:v>5.2919450130211251E-2</c:v>
                </c:pt>
                <c:pt idx="6" formatCode="0.0000">
                  <c:v>0.26223614207270174</c:v>
                </c:pt>
                <c:pt idx="7" formatCode="0.00">
                  <c:v>129.41859719009585</c:v>
                </c:pt>
                <c:pt idx="8" formatCode="0.00">
                  <c:v>129.36567773996563</c:v>
                </c:pt>
                <c:pt idx="9" formatCode="0.00">
                  <c:v>128.96762905822484</c:v>
                </c:pt>
                <c:pt idx="10" formatCode="0.00">
                  <c:v>128.91470960809463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126.96659393855874</c:v>
                </c:pt>
                <c:pt idx="15" formatCode="0.0000">
                  <c:v>126.95470009062457</c:v>
                </c:pt>
                <c:pt idx="16" formatCode="0.0000">
                  <c:v>126.94677135387496</c:v>
                </c:pt>
                <c:pt idx="17" formatCode="0.0000">
                  <c:v>126.95866445899938</c:v>
                </c:pt>
                <c:pt idx="18" formatCode="0.0000">
                  <c:v>129.87247507521266</c:v>
                </c:pt>
                <c:pt idx="19" formatCode="0.0000">
                  <c:v>129.00712542433402</c:v>
                </c:pt>
                <c:pt idx="20" formatCode="0.0000">
                  <c:v>134.86739426541649</c:v>
                </c:pt>
                <c:pt idx="21" formatCode="0.0000">
                  <c:v>126.98088448956437</c:v>
                </c:pt>
                <c:pt idx="22" formatCode="0.0000">
                  <c:v>126.70703315266883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3453824"/>
        <c:axId val="63492480"/>
      </c:barChart>
      <c:catAx>
        <c:axId val="6345382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492480"/>
        <c:crosses val="autoZero"/>
        <c:auto val="1"/>
        <c:lblAlgn val="ctr"/>
        <c:lblOffset val="100"/>
        <c:noMultiLvlLbl val="0"/>
      </c:catAx>
      <c:valAx>
        <c:axId val="6349248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453824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Sheet1!$A$1:$A$24</c:f>
              <c:numCache>
                <c:formatCode>General</c:formatCode>
                <c:ptCount val="24"/>
                <c:pt idx="0" formatCode="0.00">
                  <c:v>128.50393374327919</c:v>
                </c:pt>
                <c:pt idx="1">
                  <c:v>130.24515625000001</c:v>
                </c:pt>
                <c:pt idx="2" formatCode="0.00">
                  <c:v>125.23088863498108</c:v>
                </c:pt>
                <c:pt idx="3">
                  <c:v>126.91507459011309</c:v>
                </c:pt>
                <c:pt idx="4" formatCode="0.00">
                  <c:v>126.95073572224977</c:v>
                </c:pt>
                <c:pt idx="5" formatCode="0.00">
                  <c:v>9.8663401896646491E-2</c:v>
                </c:pt>
                <c:pt idx="6" formatCode="0.000">
                  <c:v>127.49254176127131</c:v>
                </c:pt>
                <c:pt idx="7" formatCode="0.0000">
                  <c:v>126.88170096957134</c:v>
                </c:pt>
                <c:pt idx="8" formatCode="0.00">
                  <c:v>128.15568924193505</c:v>
                </c:pt>
                <c:pt idx="9" formatCode="0.00">
                  <c:v>127.52912101996219</c:v>
                </c:pt>
                <c:pt idx="10" formatCode="0.00">
                  <c:v>2.962864921821216E-2</c:v>
                </c:pt>
                <c:pt idx="11" formatCode="0.00">
                  <c:v>2.7786918777466654</c:v>
                </c:pt>
                <c:pt idx="12" formatCode="0.00">
                  <c:v>129.20042274596753</c:v>
                </c:pt>
                <c:pt idx="13" formatCode="0.00">
                  <c:v>6.175834164795134</c:v>
                </c:pt>
                <c:pt idx="14" formatCode="0.00">
                  <c:v>126.85207232035313</c:v>
                </c:pt>
                <c:pt idx="15" formatCode="0.0000">
                  <c:v>120.5903317799835</c:v>
                </c:pt>
                <c:pt idx="16" formatCode="0.0000">
                  <c:v>120.6217339799835</c:v>
                </c:pt>
                <c:pt idx="17" formatCode="0.0000">
                  <c:v>126.49461900567678</c:v>
                </c:pt>
                <c:pt idx="18" formatCode="0.0000">
                  <c:v>128.91733196951535</c:v>
                </c:pt>
                <c:pt idx="19" formatCode="0.0000">
                  <c:v>128.91733196951535</c:v>
                </c:pt>
                <c:pt idx="20" formatCode="0.0000">
                  <c:v>132.13399999999999</c:v>
                </c:pt>
                <c:pt idx="21" formatCode="0.0000">
                  <c:v>132.13399999999999</c:v>
                </c:pt>
                <c:pt idx="22" formatCode="0.0000">
                  <c:v>132.13399999999999</c:v>
                </c:pt>
                <c:pt idx="23" formatCode="0.0000">
                  <c:v>128.13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Sheet1!$B$1:$B$24</c:f>
              <c:numCache>
                <c:formatCode>General</c:formatCode>
                <c:ptCount val="24"/>
                <c:pt idx="0" formatCode="0.00">
                  <c:v>126.76304355830182</c:v>
                </c:pt>
                <c:pt idx="1">
                  <c:v>126.86741118913014</c:v>
                </c:pt>
                <c:pt idx="2">
                  <c:v>126.45305919207529</c:v>
                </c:pt>
                <c:pt idx="3" formatCode="0.00">
                  <c:v>130.30781289770886</c:v>
                </c:pt>
                <c:pt idx="4" formatCode="0.00">
                  <c:v>3.7253255997544414</c:v>
                </c:pt>
                <c:pt idx="5" formatCode="0.000000">
                  <c:v>129.42273535455217</c:v>
                </c:pt>
                <c:pt idx="6" formatCode="0.000">
                  <c:v>128.95135001232958</c:v>
                </c:pt>
                <c:pt idx="7" formatCode="0.00">
                  <c:v>128.24233074038909</c:v>
                </c:pt>
                <c:pt idx="8" formatCode="0.0000">
                  <c:v>122.99777956721721</c:v>
                </c:pt>
                <c:pt idx="9" formatCode="0.0000">
                  <c:v>135.6595423372539</c:v>
                </c:pt>
                <c:pt idx="10" formatCode="0.0000">
                  <c:v>1.8625659832464976</c:v>
                </c:pt>
                <c:pt idx="11" formatCode="0.000000">
                  <c:v>120.48274359819445</c:v>
                </c:pt>
                <c:pt idx="12" formatCode="0.000000">
                  <c:v>130.97641857718315</c:v>
                </c:pt>
                <c:pt idx="13" formatCode="0.0000">
                  <c:v>1.626970128765922</c:v>
                </c:pt>
                <c:pt idx="15" formatCode="0.0000">
                  <c:v>129.55800775030454</c:v>
                </c:pt>
                <c:pt idx="16" formatCode="0.0000">
                  <c:v>129.91354041089923</c:v>
                </c:pt>
                <c:pt idx="17" formatCode="0.0000">
                  <c:v>126.33758401655773</c:v>
                </c:pt>
                <c:pt idx="18" formatCode="0.0000">
                  <c:v>129.33442708333334</c:v>
                </c:pt>
                <c:pt idx="19" formatCode="0.0000">
                  <c:v>129.33442708333334</c:v>
                </c:pt>
                <c:pt idx="20" formatCode="0.0000">
                  <c:v>127.51083139061674</c:v>
                </c:pt>
                <c:pt idx="21" formatCode="0.0000">
                  <c:v>127.22362092594794</c:v>
                </c:pt>
                <c:pt idx="22" formatCode="0.0000">
                  <c:v>129.87247507521266</c:v>
                </c:pt>
                <c:pt idx="23" formatCode="0.0000">
                  <c:v>132.13399999999999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Sheet1!$C$1:$C$24</c:f>
              <c:numCache>
                <c:formatCode>0.0000</c:formatCode>
                <c:ptCount val="24"/>
                <c:pt idx="0" formatCode="0.000">
                  <c:v>132.13399999999999</c:v>
                </c:pt>
                <c:pt idx="1">
                  <c:v>1.087276912062805</c:v>
                </c:pt>
                <c:pt idx="2">
                  <c:v>133.91273321000824</c:v>
                </c:pt>
                <c:pt idx="3">
                  <c:v>130.10489672363559</c:v>
                </c:pt>
                <c:pt idx="4" formatCode="0.00">
                  <c:v>128.24233074038909</c:v>
                </c:pt>
                <c:pt idx="5" formatCode="0.000000">
                  <c:v>-6.871700837675121E-2</c:v>
                </c:pt>
                <c:pt idx="6" formatCode="0.00">
                  <c:v>0</c:v>
                </c:pt>
                <c:pt idx="7" formatCode="0.00">
                  <c:v>-0.13871381957394829</c:v>
                </c:pt>
                <c:pt idx="8" formatCode="0.00000">
                  <c:v>0.50953199870163413</c:v>
                </c:pt>
                <c:pt idx="9" formatCode="0.00">
                  <c:v>131.04970548331809</c:v>
                </c:pt>
                <c:pt idx="10" formatCode="0.00">
                  <c:v>127.32437988356365</c:v>
                </c:pt>
                <c:pt idx="11" formatCode="0.000">
                  <c:v>1.5</c:v>
                </c:pt>
                <c:pt idx="12" formatCode="0.00">
                  <c:v>1</c:v>
                </c:pt>
                <c:pt idx="13" formatCode="0.00000">
                  <c:v>1.3913742742853465</c:v>
                </c:pt>
                <c:pt idx="14" formatCode="0.00000">
                  <c:v>-0.50953199870163413</c:v>
                </c:pt>
                <c:pt idx="15">
                  <c:v>128.86441251938513</c:v>
                </c:pt>
                <c:pt idx="16">
                  <c:v>128.94858262614764</c:v>
                </c:pt>
                <c:pt idx="18">
                  <c:v>129.87247507521266</c:v>
                </c:pt>
                <c:pt idx="19">
                  <c:v>129.87247507521266</c:v>
                </c:pt>
                <c:pt idx="20">
                  <c:v>132.43229576663785</c:v>
                </c:pt>
                <c:pt idx="21">
                  <c:v>134.68395111697239</c:v>
                </c:pt>
                <c:pt idx="22">
                  <c:v>129.23175106982194</c:v>
                </c:pt>
                <c:pt idx="23">
                  <c:v>127.52912101996219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Sheet1!$D$1:$D$24</c:f>
              <c:numCache>
                <c:formatCode>0.000</c:formatCode>
                <c:ptCount val="24"/>
                <c:pt idx="0">
                  <c:v>128.13</c:v>
                </c:pt>
                <c:pt idx="1">
                  <c:v>3.9999999999906777E-3</c:v>
                </c:pt>
                <c:pt idx="2" formatCode="0.0000">
                  <c:v>130.13200000000001</c:v>
                </c:pt>
                <c:pt idx="3">
                  <c:v>0.96039999999999992</c:v>
                </c:pt>
                <c:pt idx="4" formatCode="0.00000">
                  <c:v>3.1402199999995523E-2</c:v>
                </c:pt>
                <c:pt idx="5" formatCode="0">
                  <c:v>7.5396682200164964</c:v>
                </c:pt>
                <c:pt idx="6" formatCode="0">
                  <c:v>0.96039999999999992</c:v>
                </c:pt>
                <c:pt idx="7">
                  <c:v>132.16540219999999</c:v>
                </c:pt>
                <c:pt idx="8">
                  <c:v>124.62573397998349</c:v>
                </c:pt>
                <c:pt idx="9">
                  <c:v>135.66006422001649</c:v>
                </c:pt>
                <c:pt idx="10">
                  <c:v>128.120396</c:v>
                </c:pt>
                <c:pt idx="11" formatCode="0">
                  <c:v>0</c:v>
                </c:pt>
                <c:pt idx="12" formatCode="0">
                  <c:v>0</c:v>
                </c:pt>
                <c:pt idx="13" formatCode="0">
                  <c:v>0</c:v>
                </c:pt>
                <c:pt idx="14" formatCode="0.000000">
                  <c:v>-3.4998405598598542E-2</c:v>
                </c:pt>
                <c:pt idx="15" formatCode="0.0000">
                  <c:v>0.15703498911905456</c:v>
                </c:pt>
                <c:pt idx="17" formatCode="0.0000">
                  <c:v>126.41629658118369</c:v>
                </c:pt>
                <c:pt idx="18" formatCode="0.0000">
                  <c:v>131.73111272563798</c:v>
                </c:pt>
                <c:pt idx="19" formatCode="0.0000">
                  <c:v>131.73111272563798</c:v>
                </c:pt>
                <c:pt idx="20" formatCode="0.0000">
                  <c:v>125.1415452183391</c:v>
                </c:pt>
                <c:pt idx="21" formatCode="0.0000">
                  <c:v>122.49572193008083</c:v>
                </c:pt>
                <c:pt idx="22" formatCode="0.0000">
                  <c:v>128.15568924193505</c:v>
                </c:pt>
                <c:pt idx="23" formatCode="0.0000">
                  <c:v>125.23088863498108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Sheet1!$E$1:$E$24</c:f>
              <c:numCache>
                <c:formatCode>0.0000</c:formatCode>
                <c:ptCount val="24"/>
                <c:pt idx="0" formatCode="0.00">
                  <c:v>131.73111272563798</c:v>
                </c:pt>
                <c:pt idx="1">
                  <c:v>2</c:v>
                </c:pt>
                <c:pt idx="2">
                  <c:v>126.37306498999175</c:v>
                </c:pt>
                <c:pt idx="3">
                  <c:v>131.13299658402735</c:v>
                </c:pt>
                <c:pt idx="4" formatCode="0.00">
                  <c:v>130.81852925911926</c:v>
                </c:pt>
                <c:pt idx="6" formatCode="0">
                  <c:v>-39</c:v>
                </c:pt>
                <c:pt idx="7" formatCode="0.00">
                  <c:v>4</c:v>
                </c:pt>
                <c:pt idx="8" formatCode="0.00">
                  <c:v>4</c:v>
                </c:pt>
                <c:pt idx="9" formatCode="0.00">
                  <c:v>1</c:v>
                </c:pt>
                <c:pt idx="10" formatCode="0.00">
                  <c:v>0</c:v>
                </c:pt>
                <c:pt idx="11" formatCode="0">
                  <c:v>-39</c:v>
                </c:pt>
                <c:pt idx="12" formatCode="0">
                  <c:v>-39</c:v>
                </c:pt>
                <c:pt idx="13" formatCode="0">
                  <c:v>-38</c:v>
                </c:pt>
                <c:pt idx="14" formatCode="0.00000">
                  <c:v>0</c:v>
                </c:pt>
                <c:pt idx="15">
                  <c:v>1.8</c:v>
                </c:pt>
                <c:pt idx="16">
                  <c:v>127.49254176127131</c:v>
                </c:pt>
                <c:pt idx="17">
                  <c:v>126.95073572224977</c:v>
                </c:pt>
                <c:pt idx="18">
                  <c:v>128.13</c:v>
                </c:pt>
                <c:pt idx="19">
                  <c:v>128.13</c:v>
                </c:pt>
                <c:pt idx="20">
                  <c:v>136.29005072438781</c:v>
                </c:pt>
                <c:pt idx="21">
                  <c:v>139.98259074277797</c:v>
                </c:pt>
                <c:pt idx="22">
                  <c:v>127.52912101996219</c:v>
                </c:pt>
                <c:pt idx="23">
                  <c:v>130.30781289770886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Sheet1!$F$1:$F$24</c:f>
              <c:numCache>
                <c:formatCode>0.000</c:formatCode>
                <c:ptCount val="24"/>
                <c:pt idx="0" formatCode="0.00">
                  <c:v>129.87247507521266</c:v>
                </c:pt>
                <c:pt idx="1">
                  <c:v>0.85863765042532236</c:v>
                </c:pt>
                <c:pt idx="2" formatCode="0.00000">
                  <c:v>130.80179390042531</c:v>
                </c:pt>
                <c:pt idx="3">
                  <c:v>0.75946182987240718</c:v>
                </c:pt>
                <c:pt idx="4" formatCode="0.00000">
                  <c:v>0.35553266059467981</c:v>
                </c:pt>
                <c:pt idx="5" formatCode="0.0000">
                  <c:v>0.3144673249081158</c:v>
                </c:pt>
                <c:pt idx="6" formatCode="0.0000">
                  <c:v>0.75946182987240718</c:v>
                </c:pt>
                <c:pt idx="7" formatCode="0.00">
                  <c:v>132.08664538623268</c:v>
                </c:pt>
                <c:pt idx="8" formatCode="0.00">
                  <c:v>131.77217806132455</c:v>
                </c:pt>
                <c:pt idx="9" formatCode="0.00">
                  <c:v>130.17934778182206</c:v>
                </c:pt>
                <c:pt idx="10" formatCode="0.00">
                  <c:v>129.86488045691394</c:v>
                </c:pt>
                <c:pt idx="11" formatCode="0">
                  <c:v>-1</c:v>
                </c:pt>
                <c:pt idx="12" formatCode="0.00">
                  <c:v>128.78078128121456</c:v>
                </c:pt>
                <c:pt idx="13" formatCode="0.00">
                  <c:v>128.03227462398377</c:v>
                </c:pt>
                <c:pt idx="14" formatCode="0">
                  <c:v>1.1121795085638897</c:v>
                </c:pt>
                <c:pt idx="15" formatCode="0.0000">
                  <c:v>405.90000000094392</c:v>
                </c:pt>
                <c:pt idx="16" formatCode="0.0000">
                  <c:v>126.65184918602098</c:v>
                </c:pt>
                <c:pt idx="17" formatCode="0.0000">
                  <c:v>126.18074397634639</c:v>
                </c:pt>
                <c:pt idx="18" formatCode="0.0000">
                  <c:v>132.13399999999999</c:v>
                </c:pt>
                <c:pt idx="19" formatCode="0.0000">
                  <c:v>132.13399999999999</c:v>
                </c:pt>
                <c:pt idx="20" formatCode="0.0000">
                  <c:v>130.71579797136346</c:v>
                </c:pt>
                <c:pt idx="21" formatCode="0.0000">
                  <c:v>126.13376660128709</c:v>
                </c:pt>
                <c:pt idx="22" formatCode="0.0000">
                  <c:v>130.36051448265485</c:v>
                </c:pt>
                <c:pt idx="23" formatCode="0.0000">
                  <c:v>128.13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Sheet1!$G$1:$G$24</c:f>
              <c:numCache>
                <c:formatCode>0.0000</c:formatCode>
                <c:ptCount val="24"/>
                <c:pt idx="0" formatCode="0.00">
                  <c:v>129.33442708333334</c:v>
                </c:pt>
                <c:pt idx="1">
                  <c:v>129.19311312416033</c:v>
                </c:pt>
                <c:pt idx="2">
                  <c:v>129.14019367403012</c:v>
                </c:pt>
                <c:pt idx="6" formatCode="0">
                  <c:v>131.61109717929256</c:v>
                </c:pt>
                <c:pt idx="7" formatCode="0">
                  <c:v>129.00712542433402</c:v>
                </c:pt>
                <c:pt idx="8" formatCode="0">
                  <c:v>125.9330471265105</c:v>
                </c:pt>
                <c:pt idx="9" formatCode="0">
                  <c:v>127.97694838910449</c:v>
                </c:pt>
                <c:pt idx="10" formatCode="0">
                  <c:v>127.97694838910449</c:v>
                </c:pt>
                <c:pt idx="11" formatCode="0">
                  <c:v>1.0162300627931342</c:v>
                </c:pt>
                <c:pt idx="12" formatCode="0">
                  <c:v>129.00712542433402</c:v>
                </c:pt>
                <c:pt idx="13" formatCode="0.00000">
                  <c:v>8.4501328053404406E-2</c:v>
                </c:pt>
                <c:pt idx="14" formatCode="0.00000">
                  <c:v>7.1290081219365226E-3</c:v>
                </c:pt>
                <c:pt idx="15">
                  <c:v>126.94280735687023</c:v>
                </c:pt>
                <c:pt idx="16">
                  <c:v>533.39254176221527</c:v>
                </c:pt>
                <c:pt idx="17">
                  <c:v>532.85073572319368</c:v>
                </c:pt>
                <c:pt idx="18">
                  <c:v>132.13399999999999</c:v>
                </c:pt>
                <c:pt idx="19">
                  <c:v>126.94677135387496</c:v>
                </c:pt>
                <c:pt idx="20">
                  <c:v>139.19603149431236</c:v>
                </c:pt>
                <c:pt idx="21">
                  <c:v>143.31210447587773</c:v>
                </c:pt>
                <c:pt idx="22">
                  <c:v>126.74586674608672</c:v>
                </c:pt>
                <c:pt idx="23">
                  <c:v>132.13399999999999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Sheet1!$H$1:$H$24</c:f>
              <c:numCache>
                <c:formatCode>0.000</c:formatCode>
                <c:ptCount val="24"/>
                <c:pt idx="0" formatCode="0.00">
                  <c:v>128.91733196951535</c:v>
                </c:pt>
                <c:pt idx="1">
                  <c:v>0.41709511381799302</c:v>
                </c:pt>
                <c:pt idx="2" formatCode="0.0000">
                  <c:v>129.12587952642434</c:v>
                </c:pt>
                <c:pt idx="3">
                  <c:v>0.26223614207270174</c:v>
                </c:pt>
                <c:pt idx="4" formatCode="0.0000000">
                  <c:v>8.4170106762502458E-2</c:v>
                </c:pt>
                <c:pt idx="5" formatCode="0.0000">
                  <c:v>5.2919450130211251E-2</c:v>
                </c:pt>
                <c:pt idx="6" formatCode="0.0000">
                  <c:v>0.26223614207270174</c:v>
                </c:pt>
                <c:pt idx="7" formatCode="0.00">
                  <c:v>129.41859719009585</c:v>
                </c:pt>
                <c:pt idx="8" formatCode="0.00">
                  <c:v>129.36567773996563</c:v>
                </c:pt>
                <c:pt idx="9" formatCode="0.00">
                  <c:v>128.96762905822484</c:v>
                </c:pt>
                <c:pt idx="10" formatCode="0.00">
                  <c:v>128.91470960809463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126.96659393855874</c:v>
                </c:pt>
                <c:pt idx="15" formatCode="0.0000">
                  <c:v>126.95470009062457</c:v>
                </c:pt>
                <c:pt idx="16" formatCode="0.0000">
                  <c:v>126.94677135387496</c:v>
                </c:pt>
                <c:pt idx="17" formatCode="0.0000">
                  <c:v>126.95866445899938</c:v>
                </c:pt>
                <c:pt idx="18" formatCode="0.0000">
                  <c:v>129.87247507521266</c:v>
                </c:pt>
                <c:pt idx="19" formatCode="0.0000">
                  <c:v>129.00712542433402</c:v>
                </c:pt>
                <c:pt idx="20" formatCode="0.0000">
                  <c:v>134.86739426541649</c:v>
                </c:pt>
                <c:pt idx="21" formatCode="0.0000">
                  <c:v>126.98088448956437</c:v>
                </c:pt>
                <c:pt idx="22" formatCode="0.0000">
                  <c:v>126.70703315266883</c:v>
                </c:pt>
                <c:pt idx="23" formatCode="0.0000">
                  <c:v>127.52912101996219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436608"/>
        <c:axId val="101361536"/>
      </c:barChart>
      <c:catAx>
        <c:axId val="1004366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361536"/>
        <c:crosses val="autoZero"/>
        <c:auto val="1"/>
        <c:lblAlgn val="ctr"/>
        <c:lblOffset val="100"/>
        <c:noMultiLvlLbl val="0"/>
      </c:catAx>
      <c:valAx>
        <c:axId val="1013615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043660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132.16540219999999</c:v>
                </c:pt>
                <c:pt idx="1">
                  <c:v>124.62573397998349</c:v>
                </c:pt>
                <c:pt idx="2">
                  <c:v>135.66006422001649</c:v>
                </c:pt>
                <c:pt idx="3">
                  <c:v>128.120396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878592"/>
        <c:axId val="113837568"/>
      </c:scatterChart>
      <c:valAx>
        <c:axId val="1028785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13837568"/>
        <c:crosses val="autoZero"/>
        <c:crossBetween val="midCat"/>
      </c:valAx>
      <c:valAx>
        <c:axId val="11383756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287859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</c:formatCode>
                <c:ptCount val="4"/>
                <c:pt idx="0">
                  <c:v>132.08664538623268</c:v>
                </c:pt>
                <c:pt idx="1">
                  <c:v>131.77217806132455</c:v>
                </c:pt>
                <c:pt idx="2">
                  <c:v>130.17934778182206</c:v>
                </c:pt>
                <c:pt idx="3">
                  <c:v>129.86488045691394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581440"/>
        <c:axId val="131583360"/>
      </c:scatterChart>
      <c:valAx>
        <c:axId val="1315814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1583360"/>
        <c:crosses val="autoZero"/>
        <c:crossBetween val="midCat"/>
      </c:valAx>
      <c:valAx>
        <c:axId val="13158336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158144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129.41859719009585</c:v>
                </c:pt>
                <c:pt idx="1">
                  <c:v>129.36567773996563</c:v>
                </c:pt>
                <c:pt idx="2">
                  <c:v>128.96762905822484</c:v>
                </c:pt>
                <c:pt idx="3">
                  <c:v>128.91470960809463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461312"/>
        <c:axId val="132463232"/>
      </c:scatterChart>
      <c:valAx>
        <c:axId val="1324613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463232"/>
        <c:crosses val="autoZero"/>
        <c:crossBetween val="midCat"/>
      </c:valAx>
      <c:valAx>
        <c:axId val="13246323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246131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0.0000</c:formatCode>
                <c:ptCount val="8"/>
                <c:pt idx="0">
                  <c:v>128.91733196951535</c:v>
                </c:pt>
                <c:pt idx="1">
                  <c:v>129.33442708333334</c:v>
                </c:pt>
                <c:pt idx="2">
                  <c:v>129.87247507521266</c:v>
                </c:pt>
                <c:pt idx="3">
                  <c:v>131.73111272563798</c:v>
                </c:pt>
                <c:pt idx="4">
                  <c:v>128.13</c:v>
                </c:pt>
                <c:pt idx="5">
                  <c:v>132.13399999999999</c:v>
                </c:pt>
                <c:pt idx="6">
                  <c:v>132.13399999999999</c:v>
                </c:pt>
                <c:pt idx="7">
                  <c:v>129.87247507521266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0.0000</c:formatCode>
                <c:ptCount val="8"/>
                <c:pt idx="0">
                  <c:v>128.91733196951535</c:v>
                </c:pt>
                <c:pt idx="1">
                  <c:v>129.33442708333334</c:v>
                </c:pt>
                <c:pt idx="2">
                  <c:v>129.87247507521266</c:v>
                </c:pt>
                <c:pt idx="3">
                  <c:v>131.73111272563798</c:v>
                </c:pt>
                <c:pt idx="4">
                  <c:v>128.13</c:v>
                </c:pt>
                <c:pt idx="5">
                  <c:v>132.13399999999999</c:v>
                </c:pt>
                <c:pt idx="6">
                  <c:v>126.94677135387496</c:v>
                </c:pt>
                <c:pt idx="7">
                  <c:v>129.00712542433402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0.0000</c:formatCode>
                <c:ptCount val="8"/>
                <c:pt idx="0">
                  <c:v>132.13399999999999</c:v>
                </c:pt>
                <c:pt idx="1">
                  <c:v>127.51083139061674</c:v>
                </c:pt>
                <c:pt idx="2">
                  <c:v>132.43229576663785</c:v>
                </c:pt>
                <c:pt idx="3">
                  <c:v>125.1415452183391</c:v>
                </c:pt>
                <c:pt idx="4">
                  <c:v>136.29005072438781</c:v>
                </c:pt>
                <c:pt idx="5">
                  <c:v>130.71579797136346</c:v>
                </c:pt>
                <c:pt idx="6">
                  <c:v>139.19603149431236</c:v>
                </c:pt>
                <c:pt idx="7">
                  <c:v>134.86739426541649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31232"/>
        <c:axId val="42432768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0.0000</c:formatCode>
                <c:ptCount val="8"/>
                <c:pt idx="0">
                  <c:v>132.13399999999999</c:v>
                </c:pt>
                <c:pt idx="1">
                  <c:v>127.22362092594794</c:v>
                </c:pt>
                <c:pt idx="2">
                  <c:v>134.68395111697239</c:v>
                </c:pt>
                <c:pt idx="3">
                  <c:v>122.49572193008083</c:v>
                </c:pt>
                <c:pt idx="4">
                  <c:v>139.98259074277797</c:v>
                </c:pt>
                <c:pt idx="5">
                  <c:v>126.13376660128709</c:v>
                </c:pt>
                <c:pt idx="6">
                  <c:v>143.31210447587773</c:v>
                </c:pt>
                <c:pt idx="7">
                  <c:v>126.98088448956437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132.13399999999999</c:v>
                </c:pt>
                <c:pt idx="1">
                  <c:v>129.87247507521266</c:v>
                </c:pt>
                <c:pt idx="2">
                  <c:v>129.23175106982194</c:v>
                </c:pt>
                <c:pt idx="3">
                  <c:v>128.15568924193505</c:v>
                </c:pt>
                <c:pt idx="4">
                  <c:v>127.52912101996219</c:v>
                </c:pt>
                <c:pt idx="5">
                  <c:v>130.36051448265485</c:v>
                </c:pt>
                <c:pt idx="6">
                  <c:v>126.74586674608672</c:v>
                </c:pt>
                <c:pt idx="7">
                  <c:v>126.70703315266883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128.13</c:v>
                </c:pt>
                <c:pt idx="1">
                  <c:v>132.13399999999999</c:v>
                </c:pt>
                <c:pt idx="2">
                  <c:v>127.52912101996219</c:v>
                </c:pt>
                <c:pt idx="3">
                  <c:v>125.23088863498108</c:v>
                </c:pt>
                <c:pt idx="4">
                  <c:v>130.30781289770886</c:v>
                </c:pt>
                <c:pt idx="5">
                  <c:v>128.13</c:v>
                </c:pt>
                <c:pt idx="6">
                  <c:v>132.13399999999999</c:v>
                </c:pt>
                <c:pt idx="7">
                  <c:v>127.52912101996219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36096"/>
        <c:axId val="42434560"/>
      </c:scatterChart>
      <c:valAx>
        <c:axId val="42431232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42432768"/>
        <c:crosses val="autoZero"/>
        <c:crossBetween val="midCat"/>
      </c:valAx>
      <c:valAx>
        <c:axId val="42432768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42431232"/>
        <c:crosses val="autoZero"/>
        <c:crossBetween val="midCat"/>
      </c:valAx>
      <c:valAx>
        <c:axId val="42434560"/>
        <c:scaling>
          <c:orientation val="minMax"/>
        </c:scaling>
        <c:delete val="0"/>
        <c:axPos val="r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42436096"/>
        <c:crosses val="max"/>
        <c:crossBetween val="midCat"/>
      </c:valAx>
      <c:valAx>
        <c:axId val="42436096"/>
        <c:scaling>
          <c:orientation val="minMax"/>
        </c:scaling>
        <c:delete val="1"/>
        <c:axPos val="b"/>
        <c:majorTickMark val="out"/>
        <c:minorTickMark val="none"/>
        <c:tickLblPos val="nextTo"/>
        <c:crossAx val="42434560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128.13</c:v>
                </c:pt>
                <c:pt idx="1">
                  <c:v>132.13399999999999</c:v>
                </c:pt>
                <c:pt idx="2" formatCode="0.00">
                  <c:v>126.76304355830182</c:v>
                </c:pt>
                <c:pt idx="3" formatCode="0.00">
                  <c:v>128.50393374327919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43136"/>
        <c:axId val="42444672"/>
      </c:scatterChart>
      <c:valAx>
        <c:axId val="424431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42444672"/>
        <c:crosses val="autoZero"/>
        <c:crossBetween val="midCat"/>
      </c:valAx>
      <c:valAx>
        <c:axId val="4244467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4244313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830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7</xdr:row>
      <xdr:rowOff>142875</xdr:rowOff>
    </xdr:from>
    <xdr:to>
      <xdr:col>3</xdr:col>
      <xdr:colOff>1666875</xdr:colOff>
      <xdr:row>10</xdr:row>
      <xdr:rowOff>357185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9223</xdr:colOff>
      <xdr:row>7</xdr:row>
      <xdr:rowOff>476250</xdr:rowOff>
    </xdr:from>
    <xdr:to>
      <xdr:col>6</xdr:col>
      <xdr:colOff>95250</xdr:colOff>
      <xdr:row>10</xdr:row>
      <xdr:rowOff>452437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2476500</xdr:colOff>
      <xdr:row>5</xdr:row>
      <xdr:rowOff>-1</xdr:rowOff>
    </xdr:from>
    <xdr:to>
      <xdr:col>8</xdr:col>
      <xdr:colOff>0</xdr:colOff>
      <xdr:row>10</xdr:row>
      <xdr:rowOff>452436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857250</xdr:colOff>
      <xdr:row>0</xdr:row>
      <xdr:rowOff>47624</xdr:rowOff>
    </xdr:from>
    <xdr:to>
      <xdr:col>14</xdr:col>
      <xdr:colOff>571500</xdr:colOff>
      <xdr:row>9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1293813</xdr:colOff>
      <xdr:row>19</xdr:row>
      <xdr:rowOff>253999</xdr:rowOff>
    </xdr:from>
    <xdr:to>
      <xdr:col>9</xdr:col>
      <xdr:colOff>1555751</xdr:colOff>
      <xdr:row>26</xdr:row>
      <xdr:rowOff>101600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6"/>
  <sheetViews>
    <sheetView tabSelected="1" zoomScale="30" zoomScaleNormal="30" workbookViewId="0">
      <selection activeCell="F13" sqref="F13"/>
    </sheetView>
  </sheetViews>
  <sheetFormatPr defaultRowHeight="15" x14ac:dyDescent="0.25"/>
  <cols>
    <col min="1" max="1" width="38.140625" customWidth="1"/>
    <col min="2" max="2" width="42.5703125" customWidth="1"/>
    <col min="3" max="3" width="32.5703125" customWidth="1"/>
    <col min="4" max="5" width="33.140625" customWidth="1"/>
    <col min="6" max="6" width="43" customWidth="1"/>
    <col min="7" max="7" width="33.42578125" customWidth="1"/>
    <col min="8" max="8" width="33.7109375" customWidth="1"/>
    <col min="9" max="9" width="31.42578125" customWidth="1"/>
    <col min="10" max="10" width="30.85546875" customWidth="1"/>
    <col min="11" max="11" width="30.7109375" customWidth="1"/>
    <col min="12" max="12" width="36.85546875" customWidth="1"/>
    <col min="13" max="13" width="30.28515625" customWidth="1"/>
    <col min="14" max="14" width="36.7109375" customWidth="1"/>
    <col min="15" max="15" width="30.28515625" customWidth="1"/>
    <col min="16" max="16" width="27.7109375" customWidth="1"/>
    <col min="17" max="17" width="38.42578125" customWidth="1"/>
    <col min="18" max="18" width="27.85546875" customWidth="1"/>
  </cols>
  <sheetData>
    <row r="1" spans="1:18" ht="47.25" thickBot="1" x14ac:dyDescent="0.75">
      <c r="A1" s="77">
        <f>(A13+A9*2)/3</f>
        <v>128.50393374327919</v>
      </c>
      <c r="B1" s="76">
        <f>(A3+A10*2)/3</f>
        <v>126.76304355830182</v>
      </c>
      <c r="C1" s="85">
        <v>132.13399999999999</v>
      </c>
      <c r="D1" s="86">
        <v>128.13</v>
      </c>
      <c r="E1" s="62">
        <f>(I13+K9+Q19)/3</f>
        <v>131.73111272563798</v>
      </c>
      <c r="F1" s="62">
        <f>(J13+K11+R20)/3</f>
        <v>129.87247507521266</v>
      </c>
      <c r="G1" s="62">
        <f>I16</f>
        <v>129.33442708333334</v>
      </c>
      <c r="H1" s="63">
        <f>I15</f>
        <v>128.91733196951535</v>
      </c>
      <c r="I1" s="37">
        <f>((D2+F2+H2)^0.5)*10000</f>
        <v>11312.527410986928</v>
      </c>
      <c r="J1" s="37">
        <f>INT(I1/3)</f>
        <v>3770</v>
      </c>
      <c r="K1" s="37">
        <f>(J1)/30000</f>
        <v>0.12566666666666668</v>
      </c>
      <c r="L1" s="38"/>
      <c r="M1" s="38"/>
      <c r="N1" s="38"/>
      <c r="O1" s="38"/>
      <c r="P1" s="38"/>
      <c r="Q1" s="38"/>
      <c r="R1" s="38"/>
    </row>
    <row r="2" spans="1:18" ht="60" customHeight="1" x14ac:dyDescent="0.9">
      <c r="A2" s="34">
        <f>(J4+45/360)^2/100</f>
        <v>130.24515625000001</v>
      </c>
      <c r="B2" s="31">
        <f>(A1+A3)/2</f>
        <v>126.86741118913014</v>
      </c>
      <c r="C2" s="21">
        <f>SUM((D2+F2+H2)/3)+((D7+F7+H7)/3)</f>
        <v>1.087276912062805</v>
      </c>
      <c r="D2" s="65">
        <f>SUM(C1-D1)-D12-E9</f>
        <v>3.9999999999906777E-3</v>
      </c>
      <c r="E2" s="20">
        <v>2</v>
      </c>
      <c r="F2" s="64">
        <f>SUM(E1-F1)-D12-E10</f>
        <v>0.85863765042532236</v>
      </c>
      <c r="G2" s="15">
        <f>SUM(H8+H10)/2</f>
        <v>129.19311312416033</v>
      </c>
      <c r="H2" s="66">
        <f>SUM(G1-H1)-D12-E11</f>
        <v>0.41709511381799302</v>
      </c>
      <c r="I2" s="37">
        <f>SUM((D4+F4+H4)^0.5)*10000</f>
        <v>14078.700124461451</v>
      </c>
      <c r="J2" s="37">
        <f>INT(I2/3)</f>
        <v>4692</v>
      </c>
      <c r="K2" s="37">
        <f>J2/10000</f>
        <v>0.46920000000000001</v>
      </c>
      <c r="L2" s="38"/>
      <c r="M2" s="38"/>
      <c r="N2" s="38"/>
      <c r="O2" s="38"/>
      <c r="P2" s="38"/>
      <c r="Q2" s="38"/>
      <c r="R2" s="38"/>
    </row>
    <row r="3" spans="1:18" ht="54" customHeight="1" thickBot="1" x14ac:dyDescent="0.95">
      <c r="A3" s="35">
        <f>(A10+K5)/2</f>
        <v>125.23088863498108</v>
      </c>
      <c r="B3" s="32">
        <f>SUM((A10-A12)+A9)/2</f>
        <v>126.45305919207529</v>
      </c>
      <c r="C3" s="21">
        <f>SUM(D8+D10)/2</f>
        <v>133.91273321000824</v>
      </c>
      <c r="D3" s="1">
        <f>SUM(C1+D1)/2</f>
        <v>130.13200000000001</v>
      </c>
      <c r="E3" s="1">
        <f>SUM(D9+D11)/2</f>
        <v>126.37306498999175</v>
      </c>
      <c r="F3" s="2">
        <f>SUM(E1+F1)/2</f>
        <v>130.80179390042531</v>
      </c>
      <c r="G3" s="1">
        <f>SUM(H9+H11)/2</f>
        <v>129.14019367403012</v>
      </c>
      <c r="H3" s="1">
        <f>SUM(G1+H1)/2</f>
        <v>129.12587952642434</v>
      </c>
      <c r="I3" s="37">
        <f>K2*K1</f>
        <v>5.8962800000000003E-2</v>
      </c>
      <c r="J3" s="37"/>
      <c r="K3" s="37"/>
      <c r="L3" s="38"/>
      <c r="M3" s="38"/>
      <c r="N3" s="38"/>
      <c r="O3" s="38"/>
      <c r="P3" s="38"/>
      <c r="Q3" s="38"/>
      <c r="R3" s="38"/>
    </row>
    <row r="4" spans="1:18" ht="57.75" customHeight="1" thickBot="1" x14ac:dyDescent="0.95">
      <c r="A4" s="36">
        <f>(B1+A10+B3)/3</f>
        <v>126.91507459011309</v>
      </c>
      <c r="B4" s="33">
        <f>SUM(A10+A12)</f>
        <v>130.30781289770886</v>
      </c>
      <c r="C4" s="21">
        <f>SUM(C3+E4+G2+F18)/4</f>
        <v>130.10489672363559</v>
      </c>
      <c r="D4" s="67">
        <f>SUM((((D3*0.6)-2)/-2)-D13-E12)</f>
        <v>0.96039999999999992</v>
      </c>
      <c r="E4" s="20">
        <f>SUM(F10+F8)/2</f>
        <v>131.13299658402735</v>
      </c>
      <c r="F4" s="67">
        <f>SUM((((F3*0.6)-2)/-2)-D13-E13)</f>
        <v>0.75946182987240718</v>
      </c>
      <c r="G4" s="20"/>
      <c r="H4" s="67">
        <f>SUM((((H3*0.6)-2)/-2)-D13-E14)</f>
        <v>0.26223614207270174</v>
      </c>
      <c r="I4" s="37">
        <f>((A9*100))^0.5</f>
        <v>113.20586965433155</v>
      </c>
      <c r="J4" s="39">
        <f>INT(I4)+J15</f>
        <v>114</v>
      </c>
      <c r="K4" s="37">
        <f>((J4)+45/360)^2/100</f>
        <v>130.24515625000001</v>
      </c>
      <c r="L4" s="38"/>
      <c r="M4" s="38"/>
      <c r="N4" s="38"/>
      <c r="O4" s="38"/>
      <c r="P4" s="38"/>
      <c r="Q4" s="38"/>
      <c r="R4" s="38"/>
    </row>
    <row r="5" spans="1:18" ht="42.75" customHeight="1" x14ac:dyDescent="0.7">
      <c r="A5" s="89">
        <f>SUM((C5-B11)/2+C11/2+A6)</f>
        <v>126.95073572224977</v>
      </c>
      <c r="B5" s="89">
        <f>SUM(C10-C11)</f>
        <v>3.7253255997544414</v>
      </c>
      <c r="C5" s="90">
        <f>SUM(E3+E5+H3+F17)/4</f>
        <v>128.24233074038909</v>
      </c>
      <c r="D5" s="18">
        <f>SUM(((D4*D2)+I3)/2)</f>
        <v>3.1402199999995523E-2</v>
      </c>
      <c r="E5" s="8">
        <f>SUM(F9+F11)/2</f>
        <v>130.81852925911926</v>
      </c>
      <c r="F5" s="18">
        <f>SUM(((F4*F2)+I3)/2)</f>
        <v>0.35553266059467981</v>
      </c>
      <c r="G5" s="9"/>
      <c r="H5" s="19">
        <f>SUM(((H4*H2)+I3)/2)</f>
        <v>8.4170106762502458E-2</v>
      </c>
      <c r="I5" s="37">
        <f>(A10*100)^0.5</f>
        <v>112.92879217452128</v>
      </c>
      <c r="J5" s="37">
        <f>INT(I5)-J15</f>
        <v>111</v>
      </c>
      <c r="K5" s="37">
        <f>(J5-45/360)^2/100</f>
        <v>122.93265624999999</v>
      </c>
      <c r="L5" s="38"/>
      <c r="M5" s="38"/>
      <c r="N5" s="38"/>
      <c r="O5" s="38"/>
      <c r="P5" s="38"/>
      <c r="Q5" s="38"/>
      <c r="R5" s="38"/>
    </row>
    <row r="6" spans="1:18" ht="39.75" customHeight="1" thickBot="1" x14ac:dyDescent="0.75">
      <c r="A6" s="89">
        <f>SUM(((A14+B11)/2)*(B9/(C4*C5)))*3.33</f>
        <v>9.8663401896646491E-2</v>
      </c>
      <c r="B6" s="91">
        <f>SUM(C10-B14)</f>
        <v>129.42273535455217</v>
      </c>
      <c r="C6" s="92">
        <f>SUM(((C4-C5)-2)/2+C7)</f>
        <v>-6.871700837675121E-2</v>
      </c>
      <c r="D6" s="4">
        <f>SUM(D5*D4)/D2</f>
        <v>7.5396682200164964</v>
      </c>
      <c r="E6" s="4"/>
      <c r="F6" s="1">
        <f>SUM(F5*F4)/F2</f>
        <v>0.3144673249081158</v>
      </c>
      <c r="G6" s="4"/>
      <c r="H6" s="1">
        <f>SUM(H5*H4)/H2</f>
        <v>5.2919450130211251E-2</v>
      </c>
      <c r="I6" s="37">
        <f>(A9+B8)/2</f>
        <v>128.19900999116209</v>
      </c>
      <c r="J6" s="40"/>
      <c r="K6" s="40"/>
      <c r="L6" s="38"/>
      <c r="M6" s="38"/>
      <c r="N6" s="38"/>
      <c r="O6" s="38"/>
      <c r="P6" s="38"/>
      <c r="Q6" s="38"/>
      <c r="R6" s="38"/>
    </row>
    <row r="7" spans="1:18" ht="57.75" customHeight="1" thickBot="1" x14ac:dyDescent="0.95">
      <c r="A7" s="93">
        <f>SUM(A9+A10+A8)/3+A11*-1</f>
        <v>127.49254176127131</v>
      </c>
      <c r="B7" s="94">
        <f>SUM(C11+B14)</f>
        <v>128.95135001232958</v>
      </c>
      <c r="C7" s="90">
        <f>SUM(E15)</f>
        <v>0</v>
      </c>
      <c r="D7" s="4">
        <f>SUM(D4)</f>
        <v>0.96039999999999992</v>
      </c>
      <c r="E7" s="81">
        <v>-39</v>
      </c>
      <c r="F7" s="1">
        <f>SUM(F4)</f>
        <v>0.75946182987240718</v>
      </c>
      <c r="G7" s="4">
        <f>SUM((C1+E1+G1+G8)/4+(D1+F1+H1+H17)/4)/2*G12</f>
        <v>131.61109717929256</v>
      </c>
      <c r="H7" s="1">
        <f>SUM(H4)</f>
        <v>0.26223614207270174</v>
      </c>
      <c r="I7" s="41">
        <f>(A10+B12)/2</f>
        <v>124.00593230907832</v>
      </c>
      <c r="J7" s="40"/>
      <c r="K7" s="42">
        <f>H13</f>
        <v>45</v>
      </c>
      <c r="L7" s="43"/>
      <c r="M7" s="43"/>
      <c r="N7" s="43"/>
      <c r="O7" s="43"/>
      <c r="P7" s="43"/>
      <c r="Q7" s="43"/>
      <c r="R7" s="43"/>
    </row>
    <row r="8" spans="1:18" ht="51.75" customHeight="1" x14ac:dyDescent="0.9">
      <c r="A8" s="95">
        <f>SUM((C5-B11)/2+C11/2+A11)</f>
        <v>126.88170096957134</v>
      </c>
      <c r="B8" s="89">
        <f>SUM(C4-B11)</f>
        <v>128.24233074038909</v>
      </c>
      <c r="C8" s="90">
        <f>SUM((D6+F6+H6+M11)*C6)/4</f>
        <v>-0.13871381957394829</v>
      </c>
      <c r="D8" s="5">
        <f>SUM(C1+D5)</f>
        <v>132.16540219999999</v>
      </c>
      <c r="E8" s="79">
        <v>4</v>
      </c>
      <c r="F8" s="3">
        <f>SUM(E1+F5)</f>
        <v>132.08664538623268</v>
      </c>
      <c r="G8" s="4">
        <f>SUM(H17/G9)*G10</f>
        <v>129.00712542433402</v>
      </c>
      <c r="H8" s="3">
        <f>SUM(G1+H5)</f>
        <v>129.41859719009585</v>
      </c>
      <c r="I8" s="44">
        <f>C1^0.5</f>
        <v>11.494955415311535</v>
      </c>
      <c r="J8" s="45">
        <f>INT(I8)</f>
        <v>11</v>
      </c>
      <c r="K8" s="41">
        <f>(I8+K7/360)^2</f>
        <v>135.02336385382787</v>
      </c>
      <c r="L8" s="43"/>
      <c r="M8" s="43"/>
      <c r="N8" s="43"/>
      <c r="O8" s="43"/>
      <c r="P8" s="43"/>
      <c r="Q8" s="43"/>
      <c r="R8" s="43"/>
    </row>
    <row r="9" spans="1:18" ht="60" customHeight="1" x14ac:dyDescent="0.9">
      <c r="A9" s="70">
        <f>SUM((A10+B10+B12+B7)/4)</f>
        <v>128.15568924193505</v>
      </c>
      <c r="B9" s="96">
        <f>SUM(C4+C5)/2^(C8*C15)/2</f>
        <v>122.99777956721721</v>
      </c>
      <c r="C9" s="97">
        <f>SUM(C8*C6)-2/2+C12</f>
        <v>0.50953199870163413</v>
      </c>
      <c r="D9" s="5">
        <f>SUM(D8-D6)</f>
        <v>124.62573397998349</v>
      </c>
      <c r="E9" s="80">
        <v>4</v>
      </c>
      <c r="F9" s="3">
        <f>SUM(F8-F6)</f>
        <v>131.77217806132455</v>
      </c>
      <c r="G9" s="4">
        <f>SUM(G11/G12)</f>
        <v>125.9330471265105</v>
      </c>
      <c r="H9" s="3">
        <f>SUM(H8-H6)</f>
        <v>129.36567773996563</v>
      </c>
      <c r="I9" s="45">
        <f>J8</f>
        <v>11</v>
      </c>
      <c r="J9" s="41">
        <f>(I9-K7/360)^2</f>
        <v>118.265625</v>
      </c>
      <c r="K9" s="46">
        <f>(K8+D1)/2</f>
        <v>131.57668192691392</v>
      </c>
      <c r="L9" s="43"/>
      <c r="M9" s="43"/>
      <c r="N9" s="43"/>
      <c r="O9" s="43"/>
      <c r="P9" s="43"/>
      <c r="Q9" s="43"/>
      <c r="R9" s="43"/>
    </row>
    <row r="10" spans="1:18" ht="56.25" customHeight="1" x14ac:dyDescent="0.9">
      <c r="A10" s="70">
        <f>(B9+B10+B12+B13)/4</f>
        <v>127.52912101996219</v>
      </c>
      <c r="B10" s="96">
        <f>SUM(C4+C5)/2^(C8*C9)/2</f>
        <v>135.6595423372539</v>
      </c>
      <c r="C10" s="90">
        <f>SUM(C4+C5)/2*(C4/C5)</f>
        <v>131.04970548331809</v>
      </c>
      <c r="D10" s="5">
        <f>SUM(D11+D6)</f>
        <v>135.66006422001649</v>
      </c>
      <c r="E10" s="80">
        <v>1</v>
      </c>
      <c r="F10" s="3">
        <f>SUM(F11+F6)</f>
        <v>130.17934778182206</v>
      </c>
      <c r="G10" s="4">
        <f>SUM(H17+G13+G11)/3</f>
        <v>127.97694838910449</v>
      </c>
      <c r="H10" s="3">
        <f>SUM(H11+H6)</f>
        <v>128.96762905822484</v>
      </c>
      <c r="I10" s="37">
        <f>(D1^0.5)</f>
        <v>11.3194522835692</v>
      </c>
      <c r="J10" s="41">
        <f>INT(I10)</f>
        <v>11</v>
      </c>
      <c r="K10" s="46">
        <f>(J10+K7/360)^2</f>
        <v>123.765625</v>
      </c>
      <c r="L10" s="83">
        <f>SUM((((L11*0.6)-2)/-2))-E7</f>
        <v>0.53934999999999889</v>
      </c>
      <c r="M10" s="55">
        <f>SUM(((L12*L10)+I3)/2)</f>
        <v>0.22445642499999549</v>
      </c>
      <c r="N10" s="43"/>
      <c r="O10" s="43"/>
      <c r="P10" s="43"/>
      <c r="Q10" s="43"/>
      <c r="R10" s="43"/>
    </row>
    <row r="11" spans="1:18" ht="62.25" thickBot="1" x14ac:dyDescent="0.95">
      <c r="A11" s="89">
        <f>SUM(((A14+B11)/2)*(B9/(C4*C5)))</f>
        <v>2.962864921821216E-2</v>
      </c>
      <c r="B11" s="96">
        <f>SUM(C4-C5)</f>
        <v>1.8625659832464976</v>
      </c>
      <c r="C11" s="90">
        <f>SUM(C5+C4)/2*(C5/C4)</f>
        <v>127.32437988356365</v>
      </c>
      <c r="D11" s="5">
        <f>SUM(D1-(D7/100))</f>
        <v>128.120396</v>
      </c>
      <c r="E11" s="80">
        <v>0</v>
      </c>
      <c r="F11" s="3">
        <f>SUM(F1-(F7/100))</f>
        <v>129.86488045691394</v>
      </c>
      <c r="G11" s="4">
        <f>SUM(H17+G13)/2</f>
        <v>127.97694838910449</v>
      </c>
      <c r="H11" s="3">
        <f>SUM(H1-H7/100)</f>
        <v>128.91470960809463</v>
      </c>
      <c r="I11" s="47">
        <f>J10</f>
        <v>11</v>
      </c>
      <c r="J11" s="37">
        <f>(I11+K7/360)^2</f>
        <v>123.765625</v>
      </c>
      <c r="K11" s="48">
        <f>(K9+K10+C1)/3</f>
        <v>129.15876897563797</v>
      </c>
      <c r="L11" s="55">
        <f>((J12+K12)/2)</f>
        <v>131.53550000000001</v>
      </c>
      <c r="M11" s="55">
        <f>(M10*L10)/L12</f>
        <v>0.16744200943810492</v>
      </c>
      <c r="N11" s="43"/>
      <c r="O11" s="43"/>
      <c r="P11" s="43"/>
      <c r="Q11" s="43"/>
      <c r="R11" s="43"/>
    </row>
    <row r="12" spans="1:18" ht="62.25" thickBot="1" x14ac:dyDescent="0.95">
      <c r="A12" s="98">
        <f>SUM((A10-C1)*0.6-E2/B2)*F12</f>
        <v>2.7786918777466654</v>
      </c>
      <c r="B12" s="91">
        <f>SUM(B9+B8)/2*(B9/B8)</f>
        <v>120.48274359819445</v>
      </c>
      <c r="C12" s="99">
        <v>1.5</v>
      </c>
      <c r="D12" s="16">
        <v>0</v>
      </c>
      <c r="E12" s="26">
        <v>-39</v>
      </c>
      <c r="F12" s="25">
        <v>-1</v>
      </c>
      <c r="G12" s="4">
        <f>SUM((C1+E1+G1)/3)/((D1+F1+H1)/3)</f>
        <v>1.0162300627931342</v>
      </c>
      <c r="H12" s="87"/>
      <c r="I12" s="46">
        <f>(J11+K11+K10)/3</f>
        <v>125.56333965854598</v>
      </c>
      <c r="J12" s="88">
        <v>133.89699999999999</v>
      </c>
      <c r="K12" s="88">
        <v>129.17400000000001</v>
      </c>
      <c r="L12" s="82">
        <f>(J12-K12)-E8</f>
        <v>0.72299999999998477</v>
      </c>
      <c r="M12" s="43"/>
      <c r="N12" s="43"/>
      <c r="O12" s="43"/>
      <c r="P12" s="43"/>
      <c r="Q12" s="43"/>
      <c r="R12" s="43"/>
    </row>
    <row r="13" spans="1:18" ht="59.25" customHeight="1" thickBot="1" x14ac:dyDescent="0.95">
      <c r="A13" s="100">
        <f>(K4+A9)/2</f>
        <v>129.20042274596753</v>
      </c>
      <c r="B13" s="91">
        <f>SUM(B9+B8)/2*(B8/B9)</f>
        <v>130.97641857718315</v>
      </c>
      <c r="C13" s="101">
        <v>1</v>
      </c>
      <c r="D13" s="16">
        <v>0</v>
      </c>
      <c r="E13" s="26">
        <v>-39</v>
      </c>
      <c r="F13" s="78">
        <f>(A9*2+A1+B4)/4</f>
        <v>128.78078128121456</v>
      </c>
      <c r="G13" s="6">
        <f>SUM(H17*G12)</f>
        <v>129.00712542433402</v>
      </c>
      <c r="H13" s="72">
        <v>45</v>
      </c>
      <c r="I13" s="84">
        <v>131.07900000000001</v>
      </c>
      <c r="J13" s="84">
        <v>127.92100000000001</v>
      </c>
      <c r="K13" s="49" t="s">
        <v>0</v>
      </c>
      <c r="L13" s="41">
        <v>0.5</v>
      </c>
      <c r="M13" s="68">
        <f>D1</f>
        <v>128.13</v>
      </c>
      <c r="N13" s="68">
        <f>C1</f>
        <v>132.13399999999999</v>
      </c>
      <c r="O13" s="69">
        <f>B1</f>
        <v>126.76304355830182</v>
      </c>
      <c r="P13" s="69">
        <f>A1</f>
        <v>128.50393374327919</v>
      </c>
      <c r="Q13" s="43"/>
      <c r="R13" s="43"/>
    </row>
    <row r="14" spans="1:18" ht="60" customHeight="1" x14ac:dyDescent="0.9">
      <c r="A14" s="89">
        <f>SUM(C4+C5)/2-B9</f>
        <v>6.175834164795134</v>
      </c>
      <c r="B14" s="96">
        <f>SUM(C14+B11)/2</f>
        <v>1.626970128765922</v>
      </c>
      <c r="C14" s="102">
        <f>SUM(C13+B11)/2*(C11/B13)</f>
        <v>1.3913742742853465</v>
      </c>
      <c r="D14" s="16">
        <v>0</v>
      </c>
      <c r="E14" s="26">
        <v>-38</v>
      </c>
      <c r="F14" s="78">
        <f>(A10*2+B4+B1)/4</f>
        <v>128.03227462398377</v>
      </c>
      <c r="G14" s="7">
        <f>SUM(G15*G17)/H14</f>
        <v>8.4501328053404406E-2</v>
      </c>
      <c r="H14" s="30">
        <v>45</v>
      </c>
      <c r="I14" s="84">
        <v>131.69999999999999</v>
      </c>
      <c r="J14" s="84">
        <v>128.65100000000001</v>
      </c>
      <c r="K14" s="50" t="s">
        <v>1</v>
      </c>
      <c r="L14" s="41">
        <v>2</v>
      </c>
      <c r="M14" s="43"/>
      <c r="N14" s="43"/>
      <c r="O14" s="43"/>
      <c r="P14" s="43"/>
      <c r="Q14" s="43"/>
      <c r="R14" s="43"/>
    </row>
    <row r="15" spans="1:18" ht="63" customHeight="1" x14ac:dyDescent="0.9">
      <c r="A15" s="89">
        <f>SUM((C5-B11)+C11)/2</f>
        <v>126.85207232035313</v>
      </c>
      <c r="B15" s="89"/>
      <c r="C15" s="103">
        <f>SUM(C9*-1)</f>
        <v>-0.50953199870163413</v>
      </c>
      <c r="D15" s="23">
        <f>SUM(C8*-1+C6)/-2</f>
        <v>-3.4998405598598542E-2</v>
      </c>
      <c r="E15" s="24">
        <v>0</v>
      </c>
      <c r="F15" s="17">
        <f>SUM(D4+F4)/(F4+H4)*((D4+F4+H4)/3)</f>
        <v>1.1121795085638897</v>
      </c>
      <c r="G15" s="7">
        <f>SUM(D2+F2)/(F2+H2)*(D2+F2+H2)/3*F15/H14</f>
        <v>7.1290081219365226E-3</v>
      </c>
      <c r="H15" s="10">
        <f>SUM(H18/H17)*H16</f>
        <v>126.96659393855874</v>
      </c>
      <c r="I15" s="51">
        <f>(J14+I12+Q21)/3</f>
        <v>128.91733196951535</v>
      </c>
      <c r="J15" s="51">
        <v>1</v>
      </c>
      <c r="K15" s="51">
        <f>(B4+B1+A1+B1)/4</f>
        <v>128.08445843939791</v>
      </c>
      <c r="L15" s="52"/>
      <c r="M15" s="43"/>
      <c r="N15" s="43"/>
      <c r="O15" s="43"/>
      <c r="P15" s="43"/>
      <c r="Q15" s="43"/>
      <c r="R15" s="43"/>
    </row>
    <row r="16" spans="1:18" ht="61.5" x14ac:dyDescent="0.9">
      <c r="A16" s="104">
        <f>SUM(D1-D6)</f>
        <v>120.5903317799835</v>
      </c>
      <c r="B16" s="104">
        <f>SUM(F1-F6)</f>
        <v>129.55800775030454</v>
      </c>
      <c r="C16" s="105">
        <f>SUM(H1-H6)</f>
        <v>128.86441251938513</v>
      </c>
      <c r="D16" s="22">
        <f>SUM(A18-B18)</f>
        <v>0.15703498911905456</v>
      </c>
      <c r="E16" s="22">
        <v>1.8</v>
      </c>
      <c r="F16" s="27">
        <f>SUM(E16/D2)*(D2+E16)/2</f>
        <v>405.90000000094392</v>
      </c>
      <c r="G16" s="28">
        <f>SUM(H17/H18)*H16</f>
        <v>126.94280735687023</v>
      </c>
      <c r="H16" s="28">
        <f>SUM(H17+(F15*G15))</f>
        <v>126.95470009062457</v>
      </c>
      <c r="I16" s="51">
        <f>(I14+J11+Q22)/3</f>
        <v>129.33442708333334</v>
      </c>
      <c r="J16" s="51">
        <f>(B4+B1+A1)/3</f>
        <v>128.52493006642996</v>
      </c>
      <c r="K16" s="51">
        <f>(A1+B1+B4*2)/4</f>
        <v>128.97065077424969</v>
      </c>
      <c r="L16" s="43"/>
      <c r="M16" s="43"/>
      <c r="N16" s="43"/>
      <c r="O16" s="43"/>
      <c r="P16" s="43"/>
      <c r="Q16" s="43"/>
      <c r="R16" s="43"/>
    </row>
    <row r="17" spans="1:19" ht="62.25" thickBot="1" x14ac:dyDescent="0.95">
      <c r="A17" s="104">
        <f>SUM(A16+D5)</f>
        <v>120.6217339799835</v>
      </c>
      <c r="B17" s="104">
        <f>SUM(B16+F5)</f>
        <v>129.91354041089923</v>
      </c>
      <c r="C17" s="105">
        <f>SUM(C16+H5)</f>
        <v>128.94858262614764</v>
      </c>
      <c r="D17" s="22"/>
      <c r="E17" s="27">
        <f>SUM(A7)</f>
        <v>127.49254176127131</v>
      </c>
      <c r="F17" s="27">
        <f>SUM(A18/B18)*A18</f>
        <v>126.65184918602098</v>
      </c>
      <c r="G17" s="27">
        <f>SUM(E17+F16)</f>
        <v>533.39254176221527</v>
      </c>
      <c r="H17" s="28">
        <f>SUM(((E18-F15*G15)+E18))/2</f>
        <v>126.94677135387496</v>
      </c>
      <c r="I17" s="51">
        <f>(B4+A1+B1+A1)/4</f>
        <v>128.51968098564228</v>
      </c>
      <c r="J17" s="51">
        <f>(J16+I16)/2</f>
        <v>128.92967857488165</v>
      </c>
      <c r="K17" s="51">
        <f>(K16+K15)/2</f>
        <v>128.5275546068238</v>
      </c>
      <c r="L17" s="43"/>
      <c r="M17" s="43"/>
      <c r="N17" s="43"/>
      <c r="O17" s="43"/>
      <c r="P17" s="43"/>
      <c r="Q17" s="43"/>
      <c r="R17" s="43"/>
    </row>
    <row r="18" spans="1:19" ht="62.25" thickBot="1" x14ac:dyDescent="0.95">
      <c r="A18" s="104">
        <f>SUM(A17+B17+C17)/3</f>
        <v>126.49461900567678</v>
      </c>
      <c r="B18" s="104">
        <f>SUM(A16+B16+C16)/3</f>
        <v>126.33758401655773</v>
      </c>
      <c r="C18" s="104"/>
      <c r="D18" s="22">
        <f>SUM(F18+F17)/2</f>
        <v>126.41629658118369</v>
      </c>
      <c r="E18" s="27">
        <f>SUM(A5)</f>
        <v>126.95073572224977</v>
      </c>
      <c r="F18" s="29">
        <f>SUM(B18/A18)*B18</f>
        <v>126.18074397634639</v>
      </c>
      <c r="G18" s="27">
        <f>SUM(E18+F16)</f>
        <v>532.85073572319368</v>
      </c>
      <c r="H18" s="28">
        <f>SUM(E18+(F15*G15))</f>
        <v>126.95866445899938</v>
      </c>
      <c r="I18" s="51">
        <f>(A1+I17)/2</f>
        <v>128.51180736446074</v>
      </c>
      <c r="J18" s="51">
        <f>(B4+B1+B3)/3</f>
        <v>127.84130521602866</v>
      </c>
      <c r="K18" s="73">
        <v>45</v>
      </c>
      <c r="L18" s="75">
        <f>(C1+D1)/2</f>
        <v>130.13200000000001</v>
      </c>
      <c r="M18" s="43"/>
      <c r="N18" s="43"/>
      <c r="O18" s="43"/>
      <c r="P18" s="43"/>
      <c r="Q18" s="43"/>
      <c r="R18" s="43"/>
    </row>
    <row r="19" spans="1:19" ht="61.5" x14ac:dyDescent="0.9">
      <c r="A19" s="106">
        <f>SUM(H1)</f>
        <v>128.91733196951535</v>
      </c>
      <c r="B19" s="106">
        <f>SUM(G1)</f>
        <v>129.33442708333334</v>
      </c>
      <c r="C19" s="106">
        <f>SUM(F1)</f>
        <v>129.87247507521266</v>
      </c>
      <c r="D19" s="53">
        <f>SUM(E1)</f>
        <v>131.73111272563798</v>
      </c>
      <c r="E19" s="53">
        <f>SUM(D1)</f>
        <v>128.13</v>
      </c>
      <c r="F19" s="53">
        <f>SUM(C1)</f>
        <v>132.13399999999999</v>
      </c>
      <c r="G19" s="53">
        <f>SUM(A23)</f>
        <v>132.13399999999999</v>
      </c>
      <c r="H19" s="53">
        <f>SUM(B23)</f>
        <v>129.87247507521266</v>
      </c>
      <c r="I19" s="54">
        <f>((I13*100)^L13)</f>
        <v>114.4897375313613</v>
      </c>
      <c r="J19" s="54">
        <f>INT(I19)+1</f>
        <v>115</v>
      </c>
      <c r="K19" s="55">
        <f>(J19+K18/360)^L14/100</f>
        <v>132.53765625</v>
      </c>
      <c r="L19" s="56">
        <f>INT(J19)+1</f>
        <v>116</v>
      </c>
      <c r="M19" s="55">
        <f>(L19+K18/360)^L14/100</f>
        <v>134.85015625</v>
      </c>
      <c r="N19" s="55">
        <f>(K19+M19)/2</f>
        <v>133.69390625</v>
      </c>
      <c r="O19" s="55">
        <f>((O20+L18)/2*100)^L13</f>
        <v>114.91626707085469</v>
      </c>
      <c r="P19" s="55">
        <f>INT(O19)+1</f>
        <v>115</v>
      </c>
      <c r="Q19" s="56">
        <f>(P19+K18/360)^L14/100</f>
        <v>132.53765625</v>
      </c>
      <c r="R19" s="55">
        <f>INT(Q20)+1</f>
        <v>115</v>
      </c>
      <c r="S19" s="74"/>
    </row>
    <row r="20" spans="1:19" ht="61.5" x14ac:dyDescent="0.9">
      <c r="A20" s="106">
        <f t="shared" ref="A20:F20" si="0">SUM(A19)</f>
        <v>128.91733196951535</v>
      </c>
      <c r="B20" s="106">
        <f t="shared" si="0"/>
        <v>129.33442708333334</v>
      </c>
      <c r="C20" s="106">
        <f t="shared" si="0"/>
        <v>129.87247507521266</v>
      </c>
      <c r="D20" s="53">
        <f t="shared" si="0"/>
        <v>131.73111272563798</v>
      </c>
      <c r="E20" s="53">
        <f t="shared" si="0"/>
        <v>128.13</v>
      </c>
      <c r="F20" s="53">
        <f t="shared" si="0"/>
        <v>132.13399999999999</v>
      </c>
      <c r="G20" s="53">
        <f>SUM(H17)</f>
        <v>126.94677135387496</v>
      </c>
      <c r="H20" s="53">
        <f>SUM(G13)</f>
        <v>129.00712542433402</v>
      </c>
      <c r="I20" s="54">
        <f>(J13*100)^L13</f>
        <v>113.10216620383537</v>
      </c>
      <c r="J20" s="54">
        <f>INT(I20)+1</f>
        <v>114</v>
      </c>
      <c r="K20" s="55">
        <f>(J20-K18/360)^L14/100</f>
        <v>129.67515624999999</v>
      </c>
      <c r="L20" s="57">
        <f>INT(J20)+1</f>
        <v>115</v>
      </c>
      <c r="M20" s="55">
        <f>(L20-K18/360)^L14/100</f>
        <v>131.96265625000001</v>
      </c>
      <c r="N20" s="55">
        <f>(N19+M19)/2</f>
        <v>134.27203125</v>
      </c>
      <c r="O20" s="55">
        <f>(N19+N20)/2</f>
        <v>133.98296875</v>
      </c>
      <c r="P20" s="55">
        <f>(K20+M20)/2</f>
        <v>130.81890625</v>
      </c>
      <c r="Q20" s="55">
        <f>((P20+L18)/2*100)^L13</f>
        <v>114.22585220737029</v>
      </c>
      <c r="R20" s="55">
        <f>(R19+K18/360)^L14/100</f>
        <v>132.53765625</v>
      </c>
      <c r="S20" s="74"/>
    </row>
    <row r="21" spans="1:19" ht="61.5" x14ac:dyDescent="0.9">
      <c r="A21" s="106">
        <f>SUM(C1)</f>
        <v>132.13399999999999</v>
      </c>
      <c r="B21" s="106">
        <f>SUM(A10+A7)/2</f>
        <v>127.51083139061674</v>
      </c>
      <c r="C21" s="106">
        <f>SUM((A22/B22)*(B21+B21))/2</f>
        <v>132.43229576663785</v>
      </c>
      <c r="D21" s="53">
        <f>SUM(B21/C21)*(C21+B21)/2</f>
        <v>125.1415452183391</v>
      </c>
      <c r="E21" s="53">
        <f>SUM(C21/D21)*(C21+D21)/2</f>
        <v>136.29005072438781</v>
      </c>
      <c r="F21" s="53">
        <f>SUM(D21+E21)/2</f>
        <v>130.71579797136346</v>
      </c>
      <c r="G21" s="53">
        <f>SUM(E21/F21)*(F21+E21)/2</f>
        <v>139.19603149431236</v>
      </c>
      <c r="H21" s="53">
        <f>SUM(E21/G21)*(G21+E21)/2</f>
        <v>134.86739426541649</v>
      </c>
      <c r="I21" s="55">
        <f>(I14*100)^L13</f>
        <v>114.76062042355818</v>
      </c>
      <c r="J21" s="55">
        <f>INT(I21)+1</f>
        <v>115</v>
      </c>
      <c r="K21" s="55">
        <f>(J21+K18/360)^L14/100</f>
        <v>132.53765625</v>
      </c>
      <c r="L21" s="55">
        <f>INT(J21)+1</f>
        <v>116</v>
      </c>
      <c r="M21" s="55">
        <f>(L21+K18/360)^L14/100</f>
        <v>134.85015625</v>
      </c>
      <c r="N21" s="55">
        <f>(K21+M21)/2</f>
        <v>133.69390625</v>
      </c>
      <c r="O21" s="55">
        <f>((N21+L18)/2*100)^L13</f>
        <v>114.85336439347347</v>
      </c>
      <c r="P21" s="55">
        <f>INT(O21)+1</f>
        <v>115</v>
      </c>
      <c r="Q21" s="55">
        <f>(P21+K18/360)^L14/100</f>
        <v>132.53765625</v>
      </c>
      <c r="R21" s="55"/>
      <c r="S21" s="74"/>
    </row>
    <row r="22" spans="1:19" ht="61.5" x14ac:dyDescent="0.9">
      <c r="A22" s="58">
        <f>SUM(A21)</f>
        <v>132.13399999999999</v>
      </c>
      <c r="B22" s="58">
        <f>SUM(H16+E17)/2</f>
        <v>127.22362092594794</v>
      </c>
      <c r="C22" s="58">
        <f>SUM(A22/B22)*(A22+B22)/2</f>
        <v>134.68395111697239</v>
      </c>
      <c r="D22" s="58">
        <f>SUM(B22/C22)*(B22+A22)/2</f>
        <v>122.49572193008083</v>
      </c>
      <c r="E22" s="58">
        <f>SUM(C22/D22)*(D22+A22)/2</f>
        <v>139.98259074277797</v>
      </c>
      <c r="F22" s="58">
        <f>SUM(D22/A22)*(E22+A22)/2</f>
        <v>126.13376660128709</v>
      </c>
      <c r="G22" s="58">
        <f>SUM(E22/F22)*(A22+F22)/2</f>
        <v>143.31210447587773</v>
      </c>
      <c r="H22" s="58">
        <f>SUM(A22/G22)*(G22+A22)/2</f>
        <v>126.98088448956437</v>
      </c>
      <c r="I22" s="55">
        <f>(J14*100)^L13</f>
        <v>113.42442417751126</v>
      </c>
      <c r="J22" s="55">
        <f>INT(I22)+1</f>
        <v>114</v>
      </c>
      <c r="K22" s="55">
        <f>(J22+K18/360)^L14/100</f>
        <v>130.24515625000001</v>
      </c>
      <c r="L22" s="55">
        <f>INT(I22)+1</f>
        <v>114</v>
      </c>
      <c r="M22" s="55">
        <f>(L22+K18/360)^L14/100</f>
        <v>130.24515625000001</v>
      </c>
      <c r="N22" s="55">
        <f>(K22+M22)/2</f>
        <v>130.24515625000001</v>
      </c>
      <c r="O22" s="55">
        <f>((N22+L18)/2*100)^L13</f>
        <v>114.10020951996538</v>
      </c>
      <c r="P22" s="55">
        <f>INT(O22)+1</f>
        <v>115</v>
      </c>
      <c r="Q22" s="55">
        <f>(P22+K18/360)^L14/100</f>
        <v>132.53765625</v>
      </c>
      <c r="R22" s="55"/>
      <c r="S22" s="74"/>
    </row>
    <row r="23" spans="1:19" ht="61.5" x14ac:dyDescent="0.9">
      <c r="A23" s="14">
        <f>SUM(A22)</f>
        <v>132.13399999999999</v>
      </c>
      <c r="B23" s="14">
        <f>SUM(C20)</f>
        <v>129.87247507521266</v>
      </c>
      <c r="C23" s="14">
        <f>SUM(B4+A9)/2</f>
        <v>129.23175106982194</v>
      </c>
      <c r="D23" s="14">
        <f>SUM(A9)</f>
        <v>128.15568924193505</v>
      </c>
      <c r="E23" s="14">
        <f>SUM(A10)</f>
        <v>127.52912101996219</v>
      </c>
      <c r="F23" s="14">
        <f>SUM(((A23/B23)+(C23/B23))/2)*(B23+C23)/2</f>
        <v>130.36051448265485</v>
      </c>
      <c r="G23" s="14">
        <f>SUM(((D23/F23)+(E23/C23))/2*(D23+E23+F23)/3)</f>
        <v>126.74586674608672</v>
      </c>
      <c r="H23" s="14">
        <f>SUM(((G23/E23)+(E23/B23))/2*(B23+D23+G23)/3)</f>
        <v>126.70703315266883</v>
      </c>
      <c r="I23" s="71"/>
      <c r="J23" s="43"/>
      <c r="K23" s="43"/>
      <c r="L23" s="43"/>
      <c r="M23" s="43"/>
      <c r="N23" s="43"/>
      <c r="O23" s="43"/>
      <c r="P23" s="43"/>
      <c r="Q23" s="43"/>
      <c r="R23" s="43"/>
      <c r="S23" s="74"/>
    </row>
    <row r="24" spans="1:19" ht="61.5" x14ac:dyDescent="0.9">
      <c r="A24" s="58">
        <f>SUM(D1)</f>
        <v>128.13</v>
      </c>
      <c r="B24" s="58">
        <f>SUM(C1)</f>
        <v>132.13399999999999</v>
      </c>
      <c r="C24" s="58">
        <f>SUM(A10)</f>
        <v>127.52912101996219</v>
      </c>
      <c r="D24" s="58">
        <f>SUM(A3)</f>
        <v>125.23088863498108</v>
      </c>
      <c r="E24" s="58">
        <f>SUM(B4)</f>
        <v>130.30781289770886</v>
      </c>
      <c r="F24" s="14">
        <f>SUM(A24)</f>
        <v>128.13</v>
      </c>
      <c r="G24" s="14">
        <f>SUM(B24)</f>
        <v>132.13399999999999</v>
      </c>
      <c r="H24" s="14">
        <f>SUM(C24)</f>
        <v>127.52912101996219</v>
      </c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74"/>
    </row>
    <row r="25" spans="1:19" x14ac:dyDescent="0.25">
      <c r="A25" s="59">
        <f>SUM(H1)</f>
        <v>128.91733196951535</v>
      </c>
      <c r="B25" s="59">
        <f>SUM(G1)</f>
        <v>129.33442708333334</v>
      </c>
      <c r="C25" s="59">
        <f>SUM(F1)</f>
        <v>129.87247507521266</v>
      </c>
      <c r="D25" s="59">
        <f>SUM(E1)</f>
        <v>131.73111272563798</v>
      </c>
      <c r="E25" s="59">
        <f>SUM(D1)</f>
        <v>128.13</v>
      </c>
      <c r="F25" s="59">
        <f>SUM(C1)</f>
        <v>132.13399999999999</v>
      </c>
      <c r="G25" s="60">
        <f>SUM(A10)</f>
        <v>127.52912101996219</v>
      </c>
      <c r="H25" s="60">
        <f>SUM(A9)</f>
        <v>128.15568924193505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</row>
    <row r="26" spans="1:19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</row>
    <row r="27" spans="1:19" x14ac:dyDescent="0.25">
      <c r="A27" s="13"/>
      <c r="B27" s="13"/>
      <c r="C27" s="13"/>
      <c r="D27" s="13"/>
      <c r="E27" s="13"/>
      <c r="F27" s="13"/>
      <c r="G27" s="13"/>
      <c r="H27" s="13"/>
      <c r="I27" s="11"/>
      <c r="J27" s="11"/>
    </row>
    <row r="28" spans="1:19" x14ac:dyDescent="0.25">
      <c r="A28" s="13"/>
      <c r="B28" s="13"/>
      <c r="C28" s="13"/>
      <c r="D28" s="13"/>
      <c r="E28" s="13"/>
      <c r="F28" s="13"/>
      <c r="G28" s="13"/>
      <c r="H28" s="13"/>
      <c r="I28" s="11"/>
      <c r="J28" s="11"/>
    </row>
    <row r="29" spans="1:19" x14ac:dyDescent="0.25">
      <c r="A29" s="13"/>
      <c r="B29" s="13"/>
      <c r="C29" s="13"/>
      <c r="D29" s="13"/>
      <c r="E29" s="13"/>
      <c r="F29" s="13"/>
      <c r="G29" s="13"/>
      <c r="H29" s="13"/>
      <c r="I29" s="11"/>
      <c r="J29" s="11"/>
    </row>
    <row r="30" spans="1:19" x14ac:dyDescent="0.25">
      <c r="A30" s="13"/>
      <c r="B30" s="13"/>
      <c r="C30" s="13"/>
      <c r="D30" s="13"/>
      <c r="E30" s="13"/>
      <c r="F30" s="13"/>
      <c r="G30" s="13"/>
      <c r="H30" s="13"/>
      <c r="I30" s="11"/>
      <c r="J30" s="11"/>
    </row>
    <row r="31" spans="1:19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</row>
    <row r="32" spans="1:19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</row>
    <row r="33" spans="1:10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</row>
    <row r="34" spans="1:10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</row>
    <row r="35" spans="1:10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</row>
    <row r="36" spans="1:10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spans="1:10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</row>
    <row r="38" spans="1:10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</row>
    <row r="39" spans="1:10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</row>
    <row r="40" spans="1:10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</row>
    <row r="41" spans="1:10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</row>
    <row r="42" spans="1:10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</row>
    <row r="43" spans="1:10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</row>
    <row r="44" spans="1:10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</row>
    <row r="45" spans="1:10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</row>
    <row r="46" spans="1:10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</row>
    <row r="48" spans="1:10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spans="1:10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</row>
    <row r="50" spans="1:10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0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0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0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</row>
    <row r="61" spans="1:10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spans="1:10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spans="1:10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0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10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</row>
    <row r="66" spans="1:10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</row>
    <row r="67" spans="1:10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</row>
    <row r="68" spans="1:10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</row>
    <row r="69" spans="1:10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 spans="1:10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 spans="1:10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 spans="1:10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 spans="1:10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spans="1:10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 spans="1:10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 spans="1:10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spans="1:10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 spans="1:10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 spans="1:10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 spans="1:10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 spans="1:1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</row>
  </sheetData>
  <protectedRanges>
    <protectedRange sqref="H13" name="Range6"/>
    <protectedRange sqref="I13:J14" name="Range5"/>
    <protectedRange sqref="H13" name="Range4"/>
    <protectedRange sqref="F12" name="Range3"/>
    <protectedRange sqref="E9:E14" name="Range2"/>
    <protectedRange sqref="C1:D1" name="Range1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المخططات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Chart1</vt:lpstr>
      <vt:lpstr>Chart2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 abdullah</cp:lastModifiedBy>
  <dcterms:created xsi:type="dcterms:W3CDTF">2013-05-25T05:48:30Z</dcterms:created>
  <dcterms:modified xsi:type="dcterms:W3CDTF">2014-08-09T05:40:29Z</dcterms:modified>
</cp:coreProperties>
</file>