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75" windowWidth="19035" windowHeight="8040"/>
  </bookViews>
  <sheets>
    <sheet name="Live Dat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calcPr calcId="145621"/>
</workbook>
</file>

<file path=xl/calcChain.xml><?xml version="1.0" encoding="utf-8"?>
<calcChain xmlns="http://schemas.openxmlformats.org/spreadsheetml/2006/main">
  <c r="J69" i="1" l="1"/>
  <c r="I69" i="1"/>
  <c r="F69" i="1"/>
  <c r="E69" i="1"/>
  <c r="D69" i="1"/>
  <c r="C69" i="1"/>
  <c r="J67" i="1"/>
  <c r="I67" i="1"/>
  <c r="F67" i="1"/>
  <c r="E67" i="1"/>
  <c r="D67" i="1"/>
  <c r="C67" i="1"/>
  <c r="J65" i="1"/>
  <c r="I65" i="1"/>
  <c r="F65" i="1"/>
  <c r="E65" i="1"/>
  <c r="D65" i="1"/>
  <c r="C65" i="1"/>
  <c r="J63" i="1"/>
  <c r="I63" i="1"/>
  <c r="F63" i="1"/>
  <c r="E63" i="1"/>
  <c r="D63" i="1"/>
  <c r="C63" i="1"/>
  <c r="J61" i="1"/>
  <c r="I61" i="1"/>
  <c r="F61" i="1"/>
  <c r="E61" i="1"/>
  <c r="D61" i="1"/>
  <c r="C61" i="1"/>
  <c r="J59" i="1"/>
  <c r="I59" i="1"/>
  <c r="F59" i="1"/>
  <c r="E59" i="1"/>
  <c r="D59" i="1"/>
  <c r="C59" i="1"/>
  <c r="J57" i="1"/>
  <c r="I57" i="1"/>
  <c r="F57" i="1"/>
  <c r="E57" i="1"/>
  <c r="D57" i="1"/>
  <c r="C57" i="1"/>
  <c r="J55" i="1"/>
  <c r="I55" i="1"/>
  <c r="F55" i="1"/>
  <c r="E55" i="1"/>
  <c r="D55" i="1"/>
  <c r="C55" i="1"/>
  <c r="J49" i="1"/>
  <c r="I49" i="1"/>
  <c r="F49" i="1"/>
  <c r="E49" i="1"/>
  <c r="D49" i="1"/>
  <c r="C49" i="1"/>
  <c r="C47" i="1"/>
  <c r="J47" i="1"/>
  <c r="I47" i="1"/>
  <c r="F47" i="1"/>
  <c r="E47" i="1"/>
  <c r="D47" i="1"/>
  <c r="J45" i="1"/>
  <c r="I45" i="1"/>
  <c r="F45" i="1"/>
  <c r="E45" i="1"/>
  <c r="D45" i="1"/>
  <c r="C45" i="1"/>
  <c r="J43" i="1"/>
  <c r="I43" i="1"/>
  <c r="F43" i="1"/>
  <c r="E43" i="1"/>
  <c r="D43" i="1"/>
  <c r="C43" i="1"/>
  <c r="J41" i="1"/>
  <c r="I41" i="1"/>
  <c r="F41" i="1"/>
  <c r="E41" i="1"/>
  <c r="D41" i="1"/>
  <c r="C41" i="1"/>
  <c r="E35" i="1"/>
  <c r="J35" i="1"/>
  <c r="I35" i="1"/>
  <c r="F35" i="1"/>
  <c r="D35" i="1"/>
  <c r="C35" i="1"/>
  <c r="J33" i="1"/>
  <c r="I33" i="1"/>
  <c r="F33" i="1"/>
  <c r="E33" i="1"/>
  <c r="D33" i="1"/>
  <c r="C33" i="1"/>
  <c r="J31" i="1"/>
  <c r="I31" i="1"/>
  <c r="F31" i="1"/>
  <c r="E31" i="1"/>
  <c r="D31" i="1"/>
  <c r="C31" i="1"/>
  <c r="J29" i="1"/>
  <c r="I29" i="1"/>
  <c r="F29" i="1"/>
  <c r="E29" i="1"/>
  <c r="D29" i="1"/>
  <c r="C29" i="1"/>
  <c r="J27" i="1"/>
  <c r="I27" i="1"/>
  <c r="F27" i="1"/>
  <c r="E27" i="1"/>
  <c r="D27" i="1"/>
  <c r="C27" i="1"/>
  <c r="J25" i="1"/>
  <c r="I25" i="1"/>
  <c r="F25" i="1"/>
  <c r="E25" i="1"/>
  <c r="D25" i="1"/>
  <c r="C25" i="1"/>
  <c r="J13" i="1"/>
  <c r="I13" i="1"/>
  <c r="F13" i="1"/>
  <c r="E13" i="1"/>
  <c r="D13" i="1"/>
  <c r="C13" i="1"/>
  <c r="C17" i="1"/>
  <c r="J19" i="1"/>
  <c r="I19" i="1"/>
  <c r="F19" i="1"/>
  <c r="E19" i="1"/>
  <c r="D19" i="1"/>
  <c r="C19" i="1"/>
  <c r="J17" i="1"/>
  <c r="I17" i="1"/>
  <c r="F17" i="1"/>
  <c r="E17" i="1"/>
  <c r="D17" i="1"/>
  <c r="J7" i="1"/>
  <c r="I7" i="1"/>
  <c r="F7" i="1"/>
  <c r="E7" i="1"/>
  <c r="D7" i="1"/>
  <c r="C7" i="1"/>
  <c r="J15" i="1"/>
  <c r="I15" i="1"/>
  <c r="F15" i="1"/>
  <c r="E15" i="1"/>
  <c r="D15" i="1"/>
  <c r="C15" i="1"/>
  <c r="J9" i="1"/>
  <c r="I9" i="1"/>
  <c r="F9" i="1"/>
  <c r="E9" i="1"/>
  <c r="D9" i="1"/>
  <c r="C9" i="1"/>
  <c r="J11" i="1"/>
  <c r="I11" i="1"/>
  <c r="F11" i="1"/>
  <c r="E11" i="1"/>
  <c r="D11" i="1"/>
  <c r="C11" i="1"/>
  <c r="G47" i="1" l="1"/>
  <c r="G43" i="1"/>
  <c r="G31" i="1"/>
  <c r="G61" i="1"/>
  <c r="G49" i="1"/>
  <c r="G57" i="1"/>
  <c r="G45" i="1"/>
  <c r="G67" i="1"/>
  <c r="G63" i="1"/>
  <c r="G35" i="1"/>
  <c r="G25" i="1"/>
  <c r="G27" i="1"/>
  <c r="G29" i="1"/>
  <c r="G33" i="1"/>
  <c r="G41" i="1"/>
  <c r="G55" i="1"/>
  <c r="G65" i="1"/>
  <c r="G69" i="1"/>
  <c r="G59" i="1"/>
  <c r="G17" i="1"/>
  <c r="G15" i="1"/>
  <c r="G19" i="1"/>
  <c r="G13" i="1"/>
  <c r="G11" i="1"/>
  <c r="G9" i="1"/>
  <c r="G7" i="1"/>
  <c r="H69" i="1"/>
  <c r="H67" i="1"/>
  <c r="H63" i="1"/>
  <c r="H65" i="1"/>
  <c r="H61" i="1"/>
  <c r="H59" i="1"/>
  <c r="H57" i="1"/>
  <c r="H55" i="1"/>
  <c r="H45" i="1"/>
  <c r="H43" i="1"/>
  <c r="H47" i="1"/>
  <c r="H49" i="1"/>
  <c r="H41" i="1"/>
  <c r="H33" i="1"/>
  <c r="H35" i="1"/>
  <c r="H29" i="1"/>
  <c r="H31" i="1"/>
  <c r="H27" i="1"/>
  <c r="H25" i="1"/>
  <c r="H19" i="1"/>
  <c r="H15" i="1"/>
  <c r="H7" i="1"/>
  <c r="H17" i="1"/>
  <c r="H13" i="1"/>
  <c r="H11" i="1"/>
  <c r="H9" i="1"/>
</calcChain>
</file>

<file path=xl/sharedStrings.xml><?xml version="1.0" encoding="utf-8"?>
<sst xmlns="http://schemas.openxmlformats.org/spreadsheetml/2006/main" count="68" uniqueCount="41">
  <si>
    <t>Symbol</t>
  </si>
  <si>
    <t>Bid</t>
  </si>
  <si>
    <t>Ask</t>
  </si>
  <si>
    <t>High</t>
  </si>
  <si>
    <t>Low</t>
  </si>
  <si>
    <t>Time</t>
  </si>
  <si>
    <t>Full</t>
  </si>
  <si>
    <t>USDCHF</t>
  </si>
  <si>
    <t>GBPUSD</t>
  </si>
  <si>
    <t>USDJPY</t>
  </si>
  <si>
    <t>EURUSD</t>
  </si>
  <si>
    <t>AUDUSD</t>
    <phoneticPr fontId="2" type="noConversion"/>
  </si>
  <si>
    <t>NZDUSD</t>
    <phoneticPr fontId="2" type="noConversion"/>
  </si>
  <si>
    <t>USDCAD</t>
    <phoneticPr fontId="2" type="noConversion"/>
  </si>
  <si>
    <t>Spread</t>
    <phoneticPr fontId="2" type="noConversion"/>
  </si>
  <si>
    <t>EU Cross</t>
    <phoneticPr fontId="2" type="noConversion"/>
  </si>
  <si>
    <t>GB Cross</t>
    <phoneticPr fontId="2" type="noConversion"/>
  </si>
  <si>
    <t>Other Cross</t>
    <phoneticPr fontId="2" type="noConversion"/>
  </si>
  <si>
    <t>Range</t>
    <phoneticPr fontId="2" type="noConversion"/>
  </si>
  <si>
    <r>
      <t>E</t>
    </r>
    <r>
      <rPr>
        <sz val="10"/>
        <rFont val="Arial Cyr"/>
        <family val="2"/>
        <charset val="204"/>
      </rPr>
      <t>URGBP</t>
    </r>
    <phoneticPr fontId="2" type="noConversion"/>
  </si>
  <si>
    <t>EURJPY</t>
    <phoneticPr fontId="2" type="noConversion"/>
  </si>
  <si>
    <t>EURAUD</t>
    <phoneticPr fontId="2" type="noConversion"/>
  </si>
  <si>
    <t>EURCHF</t>
    <phoneticPr fontId="2" type="noConversion"/>
  </si>
  <si>
    <t>EURCAD</t>
    <phoneticPr fontId="2" type="noConversion"/>
  </si>
  <si>
    <t>EURNZD</t>
    <phoneticPr fontId="2" type="noConversion"/>
  </si>
  <si>
    <t>GBPJPY</t>
    <phoneticPr fontId="2" type="noConversion"/>
  </si>
  <si>
    <t>GBPCHF</t>
    <phoneticPr fontId="2" type="noConversion"/>
  </si>
  <si>
    <t>GBPAUD</t>
    <phoneticPr fontId="2" type="noConversion"/>
  </si>
  <si>
    <t>GBPCAD</t>
    <phoneticPr fontId="2" type="noConversion"/>
  </si>
  <si>
    <t>GBPNZD</t>
    <phoneticPr fontId="2" type="noConversion"/>
  </si>
  <si>
    <t>CADJPY</t>
    <phoneticPr fontId="2" type="noConversion"/>
  </si>
  <si>
    <t>CADCHF</t>
    <phoneticPr fontId="2" type="noConversion"/>
  </si>
  <si>
    <t>CHFJPY</t>
    <phoneticPr fontId="2" type="noConversion"/>
  </si>
  <si>
    <t>AUDCAD</t>
    <phoneticPr fontId="2" type="noConversion"/>
  </si>
  <si>
    <t>AUDCHF</t>
    <phoneticPr fontId="2" type="noConversion"/>
  </si>
  <si>
    <t>AUDJPY</t>
    <phoneticPr fontId="2" type="noConversion"/>
  </si>
  <si>
    <t>AUDNZD</t>
    <phoneticPr fontId="2" type="noConversion"/>
  </si>
  <si>
    <t>NZDJPY</t>
    <phoneticPr fontId="2" type="noConversion"/>
  </si>
  <si>
    <t>Live Data</t>
    <phoneticPr fontId="2" type="noConversion"/>
  </si>
  <si>
    <t>Major</t>
    <phoneticPr fontId="2" type="noConversion"/>
  </si>
  <si>
    <t>© 2012 Forex Factory Member PBT. All Rights Reserved.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</si>
</sst>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00_ "/>
    <numFmt numFmtId="177" formatCode="0.000_ "/>
    <numFmt numFmtId="178" formatCode="0.00_);[Red]\(0.00\)"/>
    <numFmt numFmtId="179" formatCode="0_);[Red]\(0\)"/>
  </numFmts>
  <fonts count="6" x14ac:knownFonts="1">
    <font>
      <sz val="10"/>
      <name val="Arial Cyr"/>
      <family val="2"/>
      <charset val="204"/>
    </font>
    <font>
      <b/>
      <sz val="18"/>
      <color indexed="8"/>
      <name val="Arial"/>
      <family val="2"/>
    </font>
    <font>
      <sz val="8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2"/>
      <color rgb="FFFF0000"/>
      <name val="Arial Cyr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Protection="1"/>
    <xf numFmtId="0" fontId="1" fillId="2" borderId="0" xfId="0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5" fillId="0" borderId="0" xfId="0" applyFont="1" applyAlignment="1" applyProtection="1">
      <alignment horizontal="center"/>
    </xf>
    <xf numFmtId="0" fontId="3" fillId="3" borderId="1" xfId="0" applyFont="1" applyFill="1" applyBorder="1" applyAlignment="1" applyProtection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/>
    </xf>
    <xf numFmtId="49" fontId="4" fillId="0" borderId="1" xfId="0" applyNumberFormat="1" applyFont="1" applyFill="1" applyBorder="1" applyProtection="1"/>
    <xf numFmtId="176" fontId="4" fillId="7" borderId="1" xfId="0" applyNumberFormat="1" applyFont="1" applyFill="1" applyBorder="1" applyProtection="1"/>
    <xf numFmtId="176" fontId="4" fillId="0" borderId="1" xfId="0" applyNumberFormat="1" applyFont="1" applyBorder="1" applyProtection="1"/>
    <xf numFmtId="176" fontId="4" fillId="4" borderId="1" xfId="0" applyNumberFormat="1" applyFont="1" applyFill="1" applyBorder="1" applyProtection="1"/>
    <xf numFmtId="176" fontId="4" fillId="5" borderId="1" xfId="0" applyNumberFormat="1" applyFont="1" applyFill="1" applyBorder="1" applyProtection="1"/>
    <xf numFmtId="179" fontId="0" fillId="0" borderId="1" xfId="0" applyNumberFormat="1" applyBorder="1" applyAlignment="1" applyProtection="1">
      <alignment horizontal="center"/>
    </xf>
    <xf numFmtId="178" fontId="4" fillId="8" borderId="1" xfId="0" applyNumberFormat="1" applyFont="1" applyFill="1" applyBorder="1" applyAlignment="1" applyProtection="1">
      <alignment horizontal="center"/>
    </xf>
    <xf numFmtId="20" fontId="4" fillId="0" borderId="1" xfId="0" applyNumberFormat="1" applyFont="1" applyFill="1" applyBorder="1" applyAlignment="1" applyProtection="1">
      <alignment horizontal="right"/>
    </xf>
    <xf numFmtId="0" fontId="4" fillId="0" borderId="1" xfId="0" applyFont="1" applyFill="1" applyBorder="1" applyAlignment="1" applyProtection="1">
      <alignment horizontal="right"/>
    </xf>
    <xf numFmtId="0" fontId="4" fillId="0" borderId="0" xfId="0" applyFont="1" applyProtection="1"/>
    <xf numFmtId="179" fontId="0" fillId="0" borderId="0" xfId="0" applyNumberFormat="1" applyAlignment="1" applyProtection="1">
      <alignment horizontal="center"/>
    </xf>
    <xf numFmtId="178" fontId="4" fillId="0" borderId="0" xfId="0" applyNumberFormat="1" applyFont="1" applyAlignment="1" applyProtection="1">
      <alignment horizontal="center"/>
    </xf>
    <xf numFmtId="176" fontId="4" fillId="0" borderId="1" xfId="0" applyNumberFormat="1" applyFont="1" applyFill="1" applyBorder="1" applyProtection="1"/>
    <xf numFmtId="49" fontId="4" fillId="0" borderId="1" xfId="0" applyNumberFormat="1" applyFont="1" applyBorder="1" applyProtection="1"/>
    <xf numFmtId="177" fontId="4" fillId="7" borderId="1" xfId="0" applyNumberFormat="1" applyFont="1" applyFill="1" applyBorder="1" applyProtection="1"/>
    <xf numFmtId="177" fontId="4" fillId="0" borderId="1" xfId="0" applyNumberFormat="1" applyFont="1" applyBorder="1" applyProtection="1"/>
    <xf numFmtId="177" fontId="4" fillId="4" borderId="1" xfId="0" applyNumberFormat="1" applyFont="1" applyFill="1" applyBorder="1" applyProtection="1"/>
    <xf numFmtId="177" fontId="4" fillId="5" borderId="1" xfId="0" applyNumberFormat="1" applyFont="1" applyFill="1" applyBorder="1" applyProtection="1"/>
    <xf numFmtId="20" fontId="4" fillId="0" borderId="1" xfId="0" applyNumberFormat="1" applyFont="1" applyBorder="1" applyAlignment="1" applyProtection="1">
      <alignment horizontal="right"/>
    </xf>
    <xf numFmtId="0" fontId="5" fillId="6" borderId="0" xfId="0" applyFont="1" applyFill="1" applyProtection="1"/>
    <xf numFmtId="49" fontId="0" fillId="0" borderId="1" xfId="0" applyNumberFormat="1" applyFont="1" applyFill="1" applyBorder="1" applyProtection="1"/>
    <xf numFmtId="0" fontId="0" fillId="0" borderId="0" xfId="0" applyAlignment="1" applyProtection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C45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1.05335</val>
          </value>
        </values>
      </ddeItem>
      <ddeItem name="AUDCHF" advise="1">
        <values>
          <value>
            <val>1.0283</val>
          </value>
        </values>
      </ddeItem>
      <ddeItem name="AUDJPY" advise="1">
        <values>
          <value>
            <val>82.233999999999995</val>
          </value>
        </values>
      </ddeItem>
      <ddeItem name="AUDNZD" advise="1">
        <values>
          <value>
            <val>1.29556</val>
          </value>
        </values>
      </ddeItem>
      <ddeItem name="AUDUSD" advise="1">
        <values>
          <value>
            <val>1.0482199999999999</val>
          </value>
        </values>
      </ddeItem>
      <ddeItem name="CADCHF" advise="1">
        <values>
          <value>
            <val>0.97601000000000004</val>
          </value>
        </values>
      </ddeItem>
      <ddeItem name="CADJPY" advise="1">
        <values>
          <value>
            <val>78.055000000000007</val>
          </value>
        </values>
      </ddeItem>
      <ddeItem name="CHFJPY" advise="1">
        <values>
          <value>
            <val>79.953000000000003</val>
          </value>
        </values>
      </ddeItem>
      <ddeItem name="EURAUD" advise="1">
        <values>
          <value>
            <val>1.1680200000000001</val>
          </value>
        </values>
      </ddeItem>
      <ddeItem name="EURCAD" advise="1">
        <values>
          <value>
            <val>1.2305699999999999</val>
          </value>
        </values>
      </ddeItem>
      <ddeItem name="EURCHF" advise="1">
        <values>
          <value>
            <val>1.2013799999999999</val>
          </value>
        </values>
      </ddeItem>
      <ddeItem name="EURGBP" advise="1">
        <values>
          <value>
            <val>0.78766999999999998</val>
          </value>
        </values>
      </ddeItem>
      <ddeItem name="EURJPY" advise="1">
        <values>
          <value>
            <val>96.066999999999993</val>
          </value>
        </values>
      </ddeItem>
      <ddeItem name="EURNZD" advise="1">
        <values>
          <value>
            <val>1.5133399999999999</val>
          </value>
        </values>
      </ddeItem>
      <ddeItem name="EURUSD" advise="1">
        <values>
          <value>
            <val>1.22454</val>
          </value>
        </values>
      </ddeItem>
      <ddeItem name="GBPAUD" advise="1">
        <values>
          <value>
            <val>1.48275</val>
          </value>
        </values>
      </ddeItem>
      <ddeItem name="GBPCAD" advise="1">
        <values>
          <value>
            <val>1.56202</val>
          </value>
        </values>
      </ddeItem>
      <ddeItem name="GBPCHF" advise="1">
        <values>
          <value>
            <val>1.5248999999999999</val>
          </value>
        </values>
      </ddeItem>
      <ddeItem name="GBPJPY" advise="1">
        <values>
          <value>
            <val>121.952</val>
          </value>
        </values>
      </ddeItem>
      <ddeItem name="GBPNZD" advise="1">
        <values>
          <value>
            <val>1.9211199999999999</val>
          </value>
        </values>
      </ddeItem>
      <ddeItem name="GBPUSD" advise="1">
        <values>
          <value>
            <val>1.55446</val>
          </value>
        </values>
      </ddeItem>
      <ddeItem name="NZDJPY" advise="1">
        <values>
          <value>
            <val>63.462000000000003</val>
          </value>
        </values>
      </ddeItem>
      <ddeItem name="NZDUSD" advise="1">
        <values>
          <value>
            <val>0.80898000000000003</val>
          </value>
        </values>
      </ddeItem>
      <ddeItem name="StdDocumentName" ole="1" advise="1"/>
      <ddeItem name="USDCAD" advise="1">
        <values>
          <value>
            <val>1.00471</val>
          </value>
        </values>
      </ddeItem>
      <ddeItem name="USDCHF" advise="1">
        <values>
          <value>
            <val>0.98092999999999997</val>
          </value>
        </values>
      </ddeItem>
      <ddeItem name="USDJPY" advise="1">
        <values>
          <value>
            <val>78.442999999999998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1.05369</val>
          </value>
        </values>
      </ddeItem>
      <ddeItem name="AUDCHF" advise="1">
        <values>
          <value>
            <val>1.02867</val>
          </value>
        </values>
      </ddeItem>
      <ddeItem name="AUDJPY" advise="1">
        <values>
          <value>
            <val>82.265000000000001</val>
          </value>
        </values>
      </ddeItem>
      <ddeItem name="AUDNZD" advise="1">
        <values>
          <value>
            <val>1.2960499999999999</val>
          </value>
        </values>
      </ddeItem>
      <ddeItem name="AUDUSD" advise="1">
        <values>
          <value>
            <val>1.0484800000000001</val>
          </value>
        </values>
      </ddeItem>
      <ddeItem name="CADCHF" advise="1">
        <values>
          <value>
            <val>0.97650000000000003</val>
          </value>
        </values>
      </ddeItem>
      <ddeItem name="CADJPY" advise="1">
        <values>
          <value>
            <val>78.087000000000003</val>
          </value>
        </values>
      </ddeItem>
      <ddeItem name="CHFJPY" advise="1">
        <values>
          <value>
            <val>79.983999999999995</val>
          </value>
        </values>
      </ddeItem>
      <ddeItem name="EURAUD" advise="1">
        <values>
          <value>
            <val>1.1683600000000001</val>
          </value>
        </values>
      </ddeItem>
      <ddeItem name="EURCAD" advise="1">
        <values>
          <value>
            <val>1.23092</val>
          </value>
        </values>
      </ddeItem>
      <ddeItem name="EURCHF" advise="1">
        <values>
          <value>
            <val>1.20166</val>
          </value>
        </values>
      </ddeItem>
      <ddeItem name="EURGBP" advise="1">
        <values>
          <value>
            <val>0.78793000000000002</val>
          </value>
        </values>
      </ddeItem>
      <ddeItem name="EURJPY" advise="1">
        <values>
          <value>
            <val>96.096999999999994</val>
          </value>
        </values>
      </ddeItem>
      <ddeItem name="EURNZD" advise="1">
        <values>
          <value>
            <val>1.5139400000000001</val>
          </value>
        </values>
      </ddeItem>
      <ddeItem name="EURUSD" advise="1">
        <values>
          <value>
            <val>1.22481</val>
          </value>
        </values>
      </ddeItem>
      <ddeItem name="GBPAUD" advise="1">
        <values>
          <value>
            <val>1.4831099999999999</val>
          </value>
        </values>
      </ddeItem>
      <ddeItem name="GBPCAD" advise="1">
        <values>
          <value>
            <val>1.5624</val>
          </value>
        </values>
      </ddeItem>
      <ddeItem name="GBPCHF" advise="1">
        <values>
          <value>
            <val>1.5253699999999999</val>
          </value>
        </values>
      </ddeItem>
      <ddeItem name="GBPJPY" advise="1">
        <values>
          <value>
            <val>121.986</val>
          </value>
        </values>
      </ddeItem>
      <ddeItem name="GBPNZD" advise="1">
        <values>
          <value>
            <val>1.9216800000000001</val>
          </value>
        </values>
      </ddeItem>
      <ddeItem name="GBPUSD" advise="1">
        <values>
          <value>
            <val>1.5547</val>
          </value>
        </values>
      </ddeItem>
      <ddeItem name="NZDJPY" advise="1">
        <values>
          <value>
            <val>63.5</val>
          </value>
        </values>
      </ddeItem>
      <ddeItem name="NZDUSD" advise="1">
        <values>
          <value>
            <val>0.80925999999999998</val>
          </value>
        </values>
      </ddeItem>
      <ddeItem name="StdDocumentName" ole="1" advise="1"/>
      <ddeItem name="USDCAD" advise="1">
        <values>
          <value>
            <val>1.00498</val>
          </value>
        </values>
      </ddeItem>
      <ddeItem name="USDCHF" advise="1">
        <values>
          <value>
            <val>0.98124</val>
          </value>
        </values>
      </ddeItem>
      <ddeItem name="USDJPY" advise="1">
        <values>
          <value>
            <val>78.468999999999994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1.0538099999999999</val>
          </value>
        </values>
      </ddeItem>
      <ddeItem name="AUDCHF" advise="1">
        <values>
          <value>
            <val>1.0284899999999999</val>
          </value>
        </values>
      </ddeItem>
      <ddeItem name="AUDJPY" advise="1">
        <values>
          <value>
            <val>82.308000000000007</val>
          </value>
        </values>
      </ddeItem>
      <ddeItem name="AUDNZD" advise="1">
        <values>
          <value>
            <val>1.29596</val>
          </value>
        </values>
      </ddeItem>
      <ddeItem name="AUDUSD" advise="1">
        <values>
          <value>
            <val>1.04871</val>
          </value>
        </values>
      </ddeItem>
      <ddeItem name="CADCHF" advise="1">
        <values>
          <value>
            <val>0.97724999999999995</val>
          </value>
        </values>
      </ddeItem>
      <ddeItem name="CADJPY" advise="1">
        <values>
          <value>
            <val>78.168999999999997</val>
          </value>
        </values>
      </ddeItem>
      <ddeItem name="CHFJPY" advise="1">
        <values>
          <value>
            <val>80.024000000000001</val>
          </value>
        </values>
      </ddeItem>
      <ddeItem name="EURAUD" advise="1">
        <values>
          <value>
            <val>1.1708700000000001</val>
          </value>
        </values>
      </ddeItem>
      <ddeItem name="EURCAD" advise="1">
        <values>
          <value>
            <val>1.2314700000000001</val>
          </value>
        </values>
      </ddeItem>
      <ddeItem name="EURCHF" advise="1">
        <values>
          <value>
            <val>1.2014499999999999</val>
          </value>
        </values>
      </ddeItem>
      <ddeItem name="EURGBP" advise="1">
        <values>
          <value>
            <val>0.78827000000000003</val>
          </value>
        </values>
      </ddeItem>
      <ddeItem name="EURJPY" advise="1">
        <values>
          <value>
            <val>96.156999999999996</val>
          </value>
        </values>
      </ddeItem>
      <ddeItem name="EURNZD" advise="1">
        <values>
          <value>
            <val>1.5146200000000001</val>
          </value>
        </values>
      </ddeItem>
      <ddeItem name="EURUSD" advise="1">
        <values>
          <value>
            <val>1.2255400000000001</val>
          </value>
        </values>
      </ddeItem>
      <ddeItem name="GBPAUD" advise="1">
        <values>
          <value>
            <val>1.48753</val>
          </value>
        </values>
      </ddeItem>
      <ddeItem name="GBPCAD" advise="1">
        <values>
          <value>
            <val>1.5623899999999999</val>
          </value>
        </values>
      </ddeItem>
      <ddeItem name="GBPCHF" advise="1">
        <values>
          <value>
            <val>1.52661</val>
          </value>
        </values>
      </ddeItem>
      <ddeItem name="GBPJPY" advise="1">
        <values>
          <value>
            <val>122.00700000000001</val>
          </value>
        </values>
      </ddeItem>
      <ddeItem name="GBPNZD" advise="1">
        <values>
          <value>
            <val>1.9232</val>
          </value>
        </values>
      </ddeItem>
      <ddeItem name="GBPUSD" advise="1">
        <values>
          <value>
            <val>1.55477</val>
          </value>
        </values>
      </ddeItem>
      <ddeItem name="NZDJPY" advise="1">
        <values>
          <value>
            <val>63.588000000000001</val>
          </value>
        </values>
      </ddeItem>
      <ddeItem name="NZDUSD" advise="1">
        <values>
          <value>
            <val>0.81013999999999997</val>
          </value>
        </values>
      </ddeItem>
      <ddeItem name="StdDocumentName" ole="1" advise="1"/>
      <ddeItem name="USDCAD" advise="1">
        <values>
          <value>
            <val>1.0056799999999999</val>
          </value>
        </values>
      </ddeItem>
      <ddeItem name="USDCHF" advise="1">
        <values>
          <value>
            <val>0.98304999999999998</val>
          </value>
        </values>
      </ddeItem>
      <ddeItem name="USDJPY" advise="1">
        <values>
          <value>
            <val>78.531000000000006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1.0495099999999999</val>
          </value>
        </values>
      </ddeItem>
      <ddeItem name="AUDCHF" advise="1">
        <values>
          <value>
            <val>1.02563</val>
          </value>
        </values>
      </ddeItem>
      <ddeItem name="AUDJPY" advise="1">
        <values>
          <value>
            <val>81.867000000000004</val>
          </value>
        </values>
      </ddeItem>
      <ddeItem name="AUDNZD" advise="1">
        <values>
          <value>
            <val>1.29173</val>
          </value>
        </values>
      </ddeItem>
      <ddeItem name="AUDUSD" advise="1">
        <values>
          <value>
            <val>1.04348</val>
          </value>
        </values>
      </ddeItem>
      <ddeItem name="CADCHF" advise="1">
        <values>
          <value>
            <val>0.97533999999999998</val>
          </value>
        </values>
      </ddeItem>
      <ddeItem name="CADJPY" advise="1">
        <values>
          <value>
            <val>77.924999999999997</val>
          </value>
        </values>
      </ddeItem>
      <ddeItem name="CHFJPY" advise="1">
        <values>
          <value>
            <val>79.753</val>
          </value>
        </values>
      </ddeItem>
      <ddeItem name="EURAUD" advise="1">
        <values>
          <value>
            <val>1.16767</val>
          </value>
        </values>
      </ddeItem>
      <ddeItem name="EURCAD" advise="1">
        <values>
          <value>
            <val>1.2287699999999999</val>
          </value>
        </values>
      </ddeItem>
      <ddeItem name="EURCHF" advise="1">
        <values>
          <value>
            <val>1.2010400000000001</val>
          </value>
        </values>
      </ddeItem>
      <ddeItem name="EURGBP" advise="1">
        <values>
          <value>
            <val>0.78664999999999996</val>
          </value>
        </values>
      </ddeItem>
      <ddeItem name="EURJPY" advise="1">
        <values>
          <value>
            <val>95.805999999999997</val>
          </value>
        </values>
      </ddeItem>
      <ddeItem name="EURNZD" advise="1">
        <values>
          <value>
            <val>1.5094700000000001</val>
          </value>
        </values>
      </ddeItem>
      <ddeItem name="EURUSD" advise="1">
        <values>
          <value>
            <val>1.2216800000000001</val>
          </value>
        </values>
      </ddeItem>
      <ddeItem name="GBPAUD" advise="1">
        <values>
          <value>
            <val>1.4819500000000001</val>
          </value>
        </values>
      </ddeItem>
      <ddeItem name="GBPCAD" advise="1">
        <values>
          <value>
            <val>1.5600400000000001</val>
          </value>
        </values>
      </ddeItem>
      <ddeItem name="GBPCHF" advise="1">
        <values>
          <value>
            <val>1.5236499999999999</val>
          </value>
        </values>
      </ddeItem>
      <ddeItem name="GBPJPY" advise="1">
        <values>
          <value>
            <val>121.721</val>
          </value>
        </values>
      </ddeItem>
      <ddeItem name="GBPNZD" advise="1">
        <values>
          <value>
            <val>1.91615</val>
          </value>
        </values>
      </ddeItem>
      <ddeItem name="GBPUSD" advise="1">
        <values>
          <value>
            <val>1.5521799999999999</val>
          </value>
        </values>
      </ddeItem>
      <ddeItem name="NZDJPY" advise="1">
        <values>
          <value>
            <val>63.31</val>
          </value>
        </values>
      </ddeItem>
      <ddeItem name="NZDUSD" advise="1">
        <values>
          <value>
            <val>0.80689999999999995</val>
          </value>
        </values>
      </ddeItem>
      <ddeItem name="StdDocumentName" ole="1" advise="1"/>
      <ddeItem name="USDCAD" advise="1">
        <values>
          <value>
            <val>1.0041</val>
          </value>
        </values>
      </ddeItem>
      <ddeItem name="USDCHF" advise="1">
        <values>
          <value>
            <val>0.98024999999999995</val>
          </value>
        </values>
      </ddeItem>
      <ddeItem name="USDJPY" advise="1">
        <values>
          <value>
            <val>78.353999999999999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 t="str">
            <val>2012/08/02 05:07</val>
          </value>
        </values>
      </ddeItem>
      <ddeItem name="AUDCHF" advise="1">
        <values>
          <value t="str">
            <val>2012/08/02 05:07</val>
          </value>
        </values>
      </ddeItem>
      <ddeItem name="AUDJPY" advise="1">
        <values>
          <value t="str">
            <val>2012/08/02 05:07</val>
          </value>
        </values>
      </ddeItem>
      <ddeItem name="AUDNZD" advise="1">
        <values>
          <value t="str">
            <val>2012/08/02 05:07</val>
          </value>
        </values>
      </ddeItem>
      <ddeItem name="AUDUSD" advise="1">
        <values>
          <value t="str">
            <val>2012/08/02 05:07</val>
          </value>
        </values>
      </ddeItem>
      <ddeItem name="CADCHF" advise="1">
        <values>
          <value t="str">
            <val>2012/08/02 05:07</val>
          </value>
        </values>
      </ddeItem>
      <ddeItem name="CADJPY" advise="1">
        <values>
          <value t="str">
            <val>2012/08/02 05:07</val>
          </value>
        </values>
      </ddeItem>
      <ddeItem name="CHFJPY" advise="1">
        <values>
          <value t="str">
            <val>2012/08/02 05:07</val>
          </value>
        </values>
      </ddeItem>
      <ddeItem name="EURAUD" advise="1">
        <values>
          <value t="str">
            <val>2012/08/02 05:07</val>
          </value>
        </values>
      </ddeItem>
      <ddeItem name="EURCAD" advise="1">
        <values>
          <value t="str">
            <val>2012/08/02 05:07</val>
          </value>
        </values>
      </ddeItem>
      <ddeItem name="EURCHF" advise="1">
        <values>
          <value t="str">
            <val>2012/08/02 05:07</val>
          </value>
        </values>
      </ddeItem>
      <ddeItem name="EURGBP" advise="1">
        <values>
          <value t="str">
            <val>2012/08/02 05:07</val>
          </value>
        </values>
      </ddeItem>
      <ddeItem name="EURJPY" advise="1">
        <values>
          <value t="str">
            <val>2012/08/02 05:07</val>
          </value>
        </values>
      </ddeItem>
      <ddeItem name="EURNZD" advise="1">
        <values>
          <value t="str">
            <val>2012/08/02 05:07</val>
          </value>
        </values>
      </ddeItem>
      <ddeItem name="EURUSD" advise="1">
        <values>
          <value t="str">
            <val>2012/08/02 05:07</val>
          </value>
        </values>
      </ddeItem>
      <ddeItem name="GBPAUD" advise="1">
        <values>
          <value t="str">
            <val>2012/08/02 05:07</val>
          </value>
        </values>
      </ddeItem>
      <ddeItem name="GBPCAD" advise="1">
        <values>
          <value t="str">
            <val>2012/08/02 05:07</val>
          </value>
        </values>
      </ddeItem>
      <ddeItem name="GBPCHF" advise="1">
        <values>
          <value t="str">
            <val>2012/08/02 05:07</val>
          </value>
        </values>
      </ddeItem>
      <ddeItem name="GBPJPY" advise="1">
        <values>
          <value t="str">
            <val>2012/08/02 05:07</val>
          </value>
        </values>
      </ddeItem>
      <ddeItem name="GBPNZD" advise="1">
        <values>
          <value t="str">
            <val>2012/08/02 05:07</val>
          </value>
        </values>
      </ddeItem>
      <ddeItem name="GBPUSD" advise="1">
        <values>
          <value t="str">
            <val>2012/08/02 05:07</val>
          </value>
        </values>
      </ddeItem>
      <ddeItem name="NZDJPY" advise="1">
        <values>
          <value t="str">
            <val>2012/08/02 05:07</val>
          </value>
        </values>
      </ddeItem>
      <ddeItem name="NZDUSD" advise="1">
        <values>
          <value t="str">
            <val>2012/08/02 05:07</val>
          </value>
        </values>
      </ddeItem>
      <ddeItem name="StdDocumentName" ole="1" advise="1"/>
      <ddeItem name="USDCAD" advise="1">
        <values>
          <value t="str">
            <val>2012/08/02 05:07</val>
          </value>
        </values>
      </ddeItem>
      <ddeItem name="USDCHF" advise="1">
        <values>
          <value t="str">
            <val>2012/08/02 05:07</val>
          </value>
        </values>
      </ddeItem>
      <ddeItem name="USDJPY" advise="1">
        <values>
          <value t="str">
            <val>2012/08/02 05:07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QUOTE">
    <ddeItems>
      <ddeItem name="AUDCAD" advise="1">
        <values>
          <value t="str">
            <val>2012/08/02 05:07 1.05335 1.05369</val>
          </value>
        </values>
      </ddeItem>
      <ddeItem name="AUDCHF" advise="1">
        <values>
          <value t="str">
            <val>2012/08/02 05:07 1.02830 1.02867</val>
          </value>
        </values>
      </ddeItem>
      <ddeItem name="AUDJPY" advise="1">
        <values>
          <value t="str">
            <val>2012/08/02 05:07 82.234 82.265</val>
          </value>
        </values>
      </ddeItem>
      <ddeItem name="AUDNZD" advise="1">
        <values>
          <value t="str">
            <val>2012/08/02 05:07 1.29556 1.29605</val>
          </value>
        </values>
      </ddeItem>
      <ddeItem name="AUDUSD" advise="1">
        <values>
          <value t="str">
            <val>2012/08/02 05:07 1.04822 1.04848</val>
          </value>
        </values>
      </ddeItem>
      <ddeItem name="CADCHF" advise="1">
        <values>
          <value t="str">
            <val>2012/08/02 05:07 0.97601 0.97650</val>
          </value>
        </values>
      </ddeItem>
      <ddeItem name="CADJPY" advise="1">
        <values>
          <value t="str">
            <val>2012/08/02 05:07 78.055 78.087</val>
          </value>
        </values>
      </ddeItem>
      <ddeItem name="CHFJPY" advise="1">
        <values>
          <value t="str">
            <val>2012/08/02 05:07 79.953 79.984</val>
          </value>
        </values>
      </ddeItem>
      <ddeItem name="EURAUD" advise="1">
        <values>
          <value t="str">
            <val>2012/08/02 05:07 1.16802 1.16836</val>
          </value>
        </values>
      </ddeItem>
      <ddeItem name="EURCAD" advise="1">
        <values>
          <value t="str">
            <val>2012/08/02 05:07 1.23057 1.23092</val>
          </value>
        </values>
      </ddeItem>
      <ddeItem name="EURCHF" advise="1">
        <values>
          <value t="str">
            <val>2012/08/02 05:07 1.20138 1.20166</val>
          </value>
        </values>
      </ddeItem>
      <ddeItem name="EURGBP" advise="1">
        <values>
          <value t="str">
            <val>2012/08/02 05:07 0.78767 0.78793</val>
          </value>
        </values>
      </ddeItem>
      <ddeItem name="EURJPY" advise="1">
        <values>
          <value t="str">
            <val>2012/08/02 05:07 96.067 96.097</val>
          </value>
        </values>
      </ddeItem>
      <ddeItem name="EURNZD" advise="1">
        <values>
          <value t="str">
            <val>2012/08/02 05:07 1.51330 1.51394</val>
          </value>
        </values>
      </ddeItem>
      <ddeItem name="EURUSD" advise="1">
        <values>
          <value t="str">
            <val>2012/08/02 05:07 1.22454 1.22481</val>
          </value>
        </values>
      </ddeItem>
      <ddeItem name="GBPAUD" advise="1">
        <values>
          <value t="str">
            <val>2012/08/02 05:07 1.48275 1.48311</val>
          </value>
        </values>
      </ddeItem>
      <ddeItem name="GBPCAD" advise="1">
        <values>
          <value t="str">
            <val>2012/08/02 05:07 1.56202 1.56240</val>
          </value>
        </values>
      </ddeItem>
      <ddeItem name="GBPCHF" advise="1">
        <values>
          <value t="str">
            <val>2012/08/02 05:07 1.52490 1.52537</val>
          </value>
        </values>
      </ddeItem>
      <ddeItem name="GBPJPY" advise="1">
        <values>
          <value t="str">
            <val>2012/08/02 05:07 121.952 121.986</val>
          </value>
        </values>
      </ddeItem>
      <ddeItem name="GBPNZD" advise="1">
        <values>
          <value t="str">
            <val>2012/08/02 05:07 1.92112 1.92168</val>
          </value>
        </values>
      </ddeItem>
      <ddeItem name="GBPUSD" advise="1">
        <values>
          <value t="str">
            <val>2012/08/02 05:07 1.55446 1.55470</val>
          </value>
        </values>
      </ddeItem>
      <ddeItem name="NZDJPY" advise="1">
        <values>
          <value t="str">
            <val>2012/08/02 05:07 63.462 63.500</val>
          </value>
        </values>
      </ddeItem>
      <ddeItem name="NZDUSD" advise="1">
        <values>
          <value t="str">
            <val>2012/08/02 05:07 0.80898 0.80926</val>
          </value>
        </values>
      </ddeItem>
      <ddeItem name="StdDocumentName" ole="1" advise="1"/>
      <ddeItem name="USDCAD" advise="1">
        <values>
          <value t="str">
            <val>2012/08/02 05:07 1.00471 1.00498</val>
          </value>
        </values>
      </ddeItem>
      <ddeItem name="USDCHF" advise="1">
        <values>
          <value t="str">
            <val>2012/08/02 05:07 0.98093 0.98124</val>
          </value>
        </values>
      </ddeItem>
      <ddeItem name="USDJPY" advise="1">
        <values>
          <value t="str">
            <val>2012/08/02 05:07 78.443 78.469</val>
          </value>
        </values>
      </ddeItem>
    </ddeItems>
  </ddeLin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 codeName="Лист1"/>
  <dimension ref="A1:J69"/>
  <sheetViews>
    <sheetView tabSelected="1" workbookViewId="0">
      <selection activeCell="N8" sqref="N8"/>
    </sheetView>
  </sheetViews>
  <sheetFormatPr defaultRowHeight="12.75" x14ac:dyDescent="0.2"/>
  <cols>
    <col min="1" max="1" width="4.7109375" style="1" customWidth="1"/>
    <col min="2" max="8" width="10" style="1" customWidth="1"/>
    <col min="9" max="9" width="18.42578125" style="1" customWidth="1"/>
    <col min="10" max="10" width="32.85546875" style="1" customWidth="1"/>
    <col min="11" max="16384" width="9.140625" style="1"/>
  </cols>
  <sheetData>
    <row r="1" spans="1:10" ht="23.25" x14ac:dyDescent="0.2">
      <c r="A1" s="2" t="s">
        <v>38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">
      <c r="B2" s="3"/>
      <c r="C2" s="3"/>
      <c r="D2" s="3"/>
      <c r="E2" s="3"/>
      <c r="F2" s="3"/>
      <c r="G2" s="3"/>
      <c r="H2" s="3"/>
    </row>
    <row r="4" spans="1:10" x14ac:dyDescent="0.2">
      <c r="I4" s="1" t="s">
        <v>40</v>
      </c>
    </row>
    <row r="5" spans="1:10" ht="15.75" x14ac:dyDescent="0.25">
      <c r="B5" s="4" t="s">
        <v>39</v>
      </c>
    </row>
    <row r="6" spans="1:10" x14ac:dyDescent="0.2">
      <c r="B6" s="5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7" t="s">
        <v>18</v>
      </c>
      <c r="H6" s="8" t="s">
        <v>14</v>
      </c>
      <c r="I6" s="6" t="s">
        <v>5</v>
      </c>
      <c r="J6" s="6" t="s">
        <v>6</v>
      </c>
    </row>
    <row r="7" spans="1:10" x14ac:dyDescent="0.2">
      <c r="B7" s="9" t="s">
        <v>10</v>
      </c>
      <c r="C7" s="10">
        <f>[1]!EURUSD</f>
        <v>1.22454</v>
      </c>
      <c r="D7" s="11">
        <f>[2]!EURUSD</f>
        <v>1.22481</v>
      </c>
      <c r="E7" s="12">
        <f>[3]!EURUSD</f>
        <v>1.2255400000000001</v>
      </c>
      <c r="F7" s="13">
        <f>[4]!EURUSD</f>
        <v>1.2216800000000001</v>
      </c>
      <c r="G7" s="14">
        <f>(E7-F7)*100000</f>
        <v>385.99999999999744</v>
      </c>
      <c r="H7" s="15">
        <f>(D7-C7)*10000</f>
        <v>2.6999999999999247</v>
      </c>
      <c r="I7" s="16" t="str">
        <f>[5]!EURUSD</f>
        <v>2012/08/02 05:07</v>
      </c>
      <c r="J7" s="17" t="str">
        <f>[6]!EURUSD</f>
        <v>2012/08/02 05:07 1.22454 1.22481</v>
      </c>
    </row>
    <row r="8" spans="1:10" x14ac:dyDescent="0.2">
      <c r="B8" s="18"/>
      <c r="C8" s="18"/>
      <c r="D8" s="18"/>
      <c r="E8" s="18"/>
      <c r="F8" s="18"/>
      <c r="G8" s="19"/>
      <c r="H8" s="20"/>
      <c r="I8" s="18"/>
      <c r="J8" s="18"/>
    </row>
    <row r="9" spans="1:10" x14ac:dyDescent="0.2">
      <c r="B9" s="9" t="s">
        <v>8</v>
      </c>
      <c r="C9" s="10">
        <f>[1]!GBPUSD</f>
        <v>1.55446</v>
      </c>
      <c r="D9" s="21">
        <f>[2]!GBPUSD</f>
        <v>1.5547</v>
      </c>
      <c r="E9" s="12">
        <f>[3]!GBPUSD</f>
        <v>1.55477</v>
      </c>
      <c r="F9" s="13">
        <f>[4]!GBPUSD</f>
        <v>1.5521799999999999</v>
      </c>
      <c r="G9" s="14">
        <f>(E9-F9)*100000</f>
        <v>259.00000000000921</v>
      </c>
      <c r="H9" s="15">
        <f>(D9-C9)*10000</f>
        <v>2.4000000000001798</v>
      </c>
      <c r="I9" s="16" t="str">
        <f>[5]!GBPUSD</f>
        <v>2012/08/02 05:07</v>
      </c>
      <c r="J9" s="17" t="str">
        <f>[6]!GBPUSD</f>
        <v>2012/08/02 05:07 1.55446 1.55470</v>
      </c>
    </row>
    <row r="10" spans="1:10" x14ac:dyDescent="0.2">
      <c r="B10" s="18"/>
      <c r="C10" s="18"/>
      <c r="D10" s="18"/>
      <c r="E10" s="18"/>
      <c r="F10" s="18"/>
      <c r="G10" s="19"/>
      <c r="H10" s="20"/>
      <c r="I10" s="18"/>
      <c r="J10" s="18"/>
    </row>
    <row r="11" spans="1:10" x14ac:dyDescent="0.2">
      <c r="B11" s="9" t="s">
        <v>7</v>
      </c>
      <c r="C11" s="10">
        <f>[1]!USDCHF</f>
        <v>0.98092999999999997</v>
      </c>
      <c r="D11" s="21">
        <f>[2]!USDCHF</f>
        <v>0.98124</v>
      </c>
      <c r="E11" s="12">
        <f>[3]!USDCHF</f>
        <v>0.98304999999999998</v>
      </c>
      <c r="F11" s="13">
        <f>[4]!USDCHF</f>
        <v>0.98024999999999995</v>
      </c>
      <c r="G11" s="14">
        <f>(E11-F11)*100000</f>
        <v>280.00000000000244</v>
      </c>
      <c r="H11" s="15">
        <f>(D11-C11)*10000</f>
        <v>3.1000000000003247</v>
      </c>
      <c r="I11" s="16" t="str">
        <f>[5]!USDCHF</f>
        <v>2012/08/02 05:07</v>
      </c>
      <c r="J11" s="17" t="str">
        <f>[6]!USDCHF</f>
        <v>2012/08/02 05:07 0.98093 0.98124</v>
      </c>
    </row>
    <row r="12" spans="1:10" x14ac:dyDescent="0.2">
      <c r="B12" s="18"/>
      <c r="C12" s="18"/>
      <c r="D12" s="18"/>
      <c r="E12" s="18"/>
      <c r="F12" s="18"/>
      <c r="G12" s="19"/>
      <c r="H12" s="20"/>
      <c r="I12" s="18"/>
      <c r="J12" s="18"/>
    </row>
    <row r="13" spans="1:10" x14ac:dyDescent="0.2">
      <c r="B13" s="9" t="s">
        <v>13</v>
      </c>
      <c r="C13" s="10">
        <f>[1]!USDCAD</f>
        <v>1.00471</v>
      </c>
      <c r="D13" s="21">
        <f>[2]!USDCAD</f>
        <v>1.00498</v>
      </c>
      <c r="E13" s="12">
        <f>[3]!USDCAD</f>
        <v>1.0056799999999999</v>
      </c>
      <c r="F13" s="13">
        <f>[4]!USDCAD</f>
        <v>1.0041</v>
      </c>
      <c r="G13" s="14">
        <f>(E13-F13)*100000</f>
        <v>157.99999999999147</v>
      </c>
      <c r="H13" s="15">
        <f>(D13-C13)*10000</f>
        <v>2.6999999999999247</v>
      </c>
      <c r="I13" s="16" t="str">
        <f>[5]!USDCAD</f>
        <v>2012/08/02 05:07</v>
      </c>
      <c r="J13" s="17" t="str">
        <f>[6]!USDCAD</f>
        <v>2012/08/02 05:07 1.00471 1.00498</v>
      </c>
    </row>
    <row r="14" spans="1:10" x14ac:dyDescent="0.2">
      <c r="B14" s="18"/>
      <c r="C14" s="18"/>
      <c r="D14" s="18"/>
      <c r="E14" s="18"/>
      <c r="F14" s="18"/>
      <c r="G14" s="19"/>
      <c r="H14" s="20"/>
      <c r="I14" s="18"/>
      <c r="J14" s="18"/>
    </row>
    <row r="15" spans="1:10" x14ac:dyDescent="0.2">
      <c r="B15" s="22" t="s">
        <v>9</v>
      </c>
      <c r="C15" s="23">
        <f>[1]!USDJPY</f>
        <v>78.442999999999998</v>
      </c>
      <c r="D15" s="24">
        <f>[2]!USDJPY</f>
        <v>78.468999999999994</v>
      </c>
      <c r="E15" s="25">
        <f>[3]!USDJPY</f>
        <v>78.531000000000006</v>
      </c>
      <c r="F15" s="26">
        <f>[4]!USDJPY</f>
        <v>78.353999999999999</v>
      </c>
      <c r="G15" s="14">
        <f>(E15-F15)*1000</f>
        <v>177.00000000000671</v>
      </c>
      <c r="H15" s="15">
        <f>(D15-C15)*100</f>
        <v>2.5999999999996248</v>
      </c>
      <c r="I15" s="27" t="str">
        <f>[5]!USDJPY</f>
        <v>2012/08/02 05:07</v>
      </c>
      <c r="J15" s="17" t="str">
        <f>[6]!USDJPY</f>
        <v>2012/08/02 05:07 78.443 78.469</v>
      </c>
    </row>
    <row r="16" spans="1:10" x14ac:dyDescent="0.2">
      <c r="B16" s="18"/>
      <c r="C16" s="18"/>
      <c r="D16" s="18"/>
      <c r="E16" s="18"/>
      <c r="F16" s="18"/>
      <c r="G16" s="19"/>
      <c r="H16" s="20"/>
      <c r="I16" s="18"/>
      <c r="J16" s="18"/>
    </row>
    <row r="17" spans="2:10" x14ac:dyDescent="0.2">
      <c r="B17" s="9" t="s">
        <v>11</v>
      </c>
      <c r="C17" s="10">
        <f>[1]!AUDUSD</f>
        <v>1.0482199999999999</v>
      </c>
      <c r="D17" s="11">
        <f>[2]!AUDUSD</f>
        <v>1.0484800000000001</v>
      </c>
      <c r="E17" s="12">
        <f>[3]!AUDUSD</f>
        <v>1.04871</v>
      </c>
      <c r="F17" s="13">
        <f>[4]!AUDUSD</f>
        <v>1.04348</v>
      </c>
      <c r="G17" s="14">
        <f>(E17-F17)*100000</f>
        <v>523.00000000000682</v>
      </c>
      <c r="H17" s="15">
        <f>(D17-C17)*10000</f>
        <v>2.60000000000149</v>
      </c>
      <c r="I17" s="16" t="str">
        <f>[5]!AUDUSD</f>
        <v>2012/08/02 05:07</v>
      </c>
      <c r="J17" s="17" t="str">
        <f>[6]!AUDUSD</f>
        <v>2012/08/02 05:07 1.04822 1.04848</v>
      </c>
    </row>
    <row r="18" spans="2:10" x14ac:dyDescent="0.2">
      <c r="B18" s="18"/>
      <c r="C18" s="18"/>
      <c r="D18" s="18"/>
      <c r="E18" s="18"/>
      <c r="F18" s="18"/>
      <c r="G18" s="19"/>
      <c r="H18" s="20"/>
      <c r="I18" s="18"/>
      <c r="J18" s="18"/>
    </row>
    <row r="19" spans="2:10" x14ac:dyDescent="0.2">
      <c r="B19" s="9" t="s">
        <v>12</v>
      </c>
      <c r="C19" s="10">
        <f>[1]!NZDUSD</f>
        <v>0.80898000000000003</v>
      </c>
      <c r="D19" s="11">
        <f>[2]!NZDUSD</f>
        <v>0.80925999999999998</v>
      </c>
      <c r="E19" s="12">
        <f>[3]!NZDUSD</f>
        <v>0.81013999999999997</v>
      </c>
      <c r="F19" s="13">
        <f>[4]!NZDUSD</f>
        <v>0.80689999999999995</v>
      </c>
      <c r="G19" s="14">
        <f>(E19-F19)*100000</f>
        <v>324.00000000000205</v>
      </c>
      <c r="H19" s="15">
        <f>(D19-C19)*10000</f>
        <v>2.7999999999994696</v>
      </c>
      <c r="I19" s="16" t="str">
        <f>[5]!NZDUSD</f>
        <v>2012/08/02 05:07</v>
      </c>
      <c r="J19" s="17" t="str">
        <f>[6]!NZDUSD</f>
        <v>2012/08/02 05:07 0.80898 0.80926</v>
      </c>
    </row>
    <row r="22" spans="2:10" ht="15.75" x14ac:dyDescent="0.25">
      <c r="B22" s="28" t="s">
        <v>15</v>
      </c>
    </row>
    <row r="24" spans="2:10" x14ac:dyDescent="0.2">
      <c r="B24" s="5" t="s">
        <v>0</v>
      </c>
      <c r="C24" s="6" t="s">
        <v>1</v>
      </c>
      <c r="D24" s="6" t="s">
        <v>2</v>
      </c>
      <c r="E24" s="6" t="s">
        <v>3</v>
      </c>
      <c r="F24" s="6" t="s">
        <v>4</v>
      </c>
      <c r="G24" s="7" t="s">
        <v>18</v>
      </c>
      <c r="H24" s="8" t="s">
        <v>14</v>
      </c>
      <c r="I24" s="6" t="s">
        <v>5</v>
      </c>
      <c r="J24" s="6" t="s">
        <v>6</v>
      </c>
    </row>
    <row r="25" spans="2:10" x14ac:dyDescent="0.2">
      <c r="B25" s="29" t="s">
        <v>19</v>
      </c>
      <c r="C25" s="10">
        <f>[1]!EURGBP</f>
        <v>0.78766999999999998</v>
      </c>
      <c r="D25" s="11">
        <f>[2]!EURGBP</f>
        <v>0.78793000000000002</v>
      </c>
      <c r="E25" s="12">
        <f>[3]!EURGBP</f>
        <v>0.78827000000000003</v>
      </c>
      <c r="F25" s="13">
        <f>[4]!EURGBP</f>
        <v>0.78664999999999996</v>
      </c>
      <c r="G25" s="14">
        <f>(E25-F25)*100000</f>
        <v>162.00000000000659</v>
      </c>
      <c r="H25" s="15">
        <f>(D25-C25)*10000</f>
        <v>2.6000000000003798</v>
      </c>
      <c r="I25" s="16" t="str">
        <f>[5]!EURGBP</f>
        <v>2012/08/02 05:07</v>
      </c>
      <c r="J25" s="17" t="str">
        <f>[6]!EURGBP</f>
        <v>2012/08/02 05:07 0.78767 0.78793</v>
      </c>
    </row>
    <row r="26" spans="2:10" x14ac:dyDescent="0.2">
      <c r="G26" s="30"/>
      <c r="H26" s="30"/>
    </row>
    <row r="27" spans="2:10" x14ac:dyDescent="0.2">
      <c r="B27" s="29" t="s">
        <v>20</v>
      </c>
      <c r="C27" s="23">
        <f>[1]!EURJPY</f>
        <v>96.066999999999993</v>
      </c>
      <c r="D27" s="24">
        <f>[2]!EURJPY</f>
        <v>96.096999999999994</v>
      </c>
      <c r="E27" s="25">
        <f>[3]!EURJPY</f>
        <v>96.156999999999996</v>
      </c>
      <c r="F27" s="26">
        <f>[4]!EURJPY</f>
        <v>95.805999999999997</v>
      </c>
      <c r="G27" s="14">
        <f>(E27-F27)*1000</f>
        <v>350.99999999999909</v>
      </c>
      <c r="H27" s="15">
        <f>(D27-C27)*100</f>
        <v>3.0000000000001137</v>
      </c>
      <c r="I27" s="16" t="str">
        <f>[5]!EURJPY</f>
        <v>2012/08/02 05:07</v>
      </c>
      <c r="J27" s="17" t="str">
        <f>[6]!EURJPY</f>
        <v>2012/08/02 05:07 96.067 96.097</v>
      </c>
    </row>
    <row r="28" spans="2:10" x14ac:dyDescent="0.2">
      <c r="G28" s="30"/>
      <c r="H28" s="30"/>
    </row>
    <row r="29" spans="2:10" x14ac:dyDescent="0.2">
      <c r="B29" s="29" t="s">
        <v>21</v>
      </c>
      <c r="C29" s="10">
        <f>[1]!EURAUD</f>
        <v>1.1680200000000001</v>
      </c>
      <c r="D29" s="11">
        <f>[2]!EURAUD</f>
        <v>1.1683600000000001</v>
      </c>
      <c r="E29" s="12">
        <f>[3]!EURAUD</f>
        <v>1.1708700000000001</v>
      </c>
      <c r="F29" s="13">
        <f>[4]!EURAUD</f>
        <v>1.16767</v>
      </c>
      <c r="G29" s="14">
        <f>(E29-F29)*100000</f>
        <v>320.00000000000915</v>
      </c>
      <c r="H29" s="15">
        <f>(D29-C29)*10000</f>
        <v>3.4000000000000696</v>
      </c>
      <c r="I29" s="16" t="str">
        <f>[5]!EURAUD</f>
        <v>2012/08/02 05:07</v>
      </c>
      <c r="J29" s="17" t="str">
        <f>[6]!EURAUD</f>
        <v>2012/08/02 05:07 1.16802 1.16836</v>
      </c>
    </row>
    <row r="30" spans="2:10" x14ac:dyDescent="0.2">
      <c r="G30" s="30"/>
      <c r="H30" s="30"/>
    </row>
    <row r="31" spans="2:10" x14ac:dyDescent="0.2">
      <c r="B31" s="29" t="s">
        <v>22</v>
      </c>
      <c r="C31" s="10">
        <f>[1]!EURCHF</f>
        <v>1.2013799999999999</v>
      </c>
      <c r="D31" s="11">
        <f>[2]!EURCHF</f>
        <v>1.20166</v>
      </c>
      <c r="E31" s="12">
        <f>[3]!EURCHF</f>
        <v>1.2014499999999999</v>
      </c>
      <c r="F31" s="13">
        <f>[4]!EURCHF</f>
        <v>1.2010400000000001</v>
      </c>
      <c r="G31" s="14">
        <f>(E31-F31)*100000</f>
        <v>40.999999999979941</v>
      </c>
      <c r="H31" s="15">
        <f>(D31-C31)*10000</f>
        <v>2.8000000000005798</v>
      </c>
      <c r="I31" s="16" t="str">
        <f>[5]!EURCHF</f>
        <v>2012/08/02 05:07</v>
      </c>
      <c r="J31" s="17" t="str">
        <f>[6]!EURCHF</f>
        <v>2012/08/02 05:07 1.20138 1.20166</v>
      </c>
    </row>
    <row r="32" spans="2:10" x14ac:dyDescent="0.2">
      <c r="G32" s="30"/>
      <c r="H32" s="30"/>
    </row>
    <row r="33" spans="2:10" x14ac:dyDescent="0.2">
      <c r="B33" s="29" t="s">
        <v>23</v>
      </c>
      <c r="C33" s="10">
        <f>[1]!EURCAD</f>
        <v>1.2305699999999999</v>
      </c>
      <c r="D33" s="11">
        <f>[2]!EURCAD</f>
        <v>1.23092</v>
      </c>
      <c r="E33" s="12">
        <f>[3]!EURCAD</f>
        <v>1.2314700000000001</v>
      </c>
      <c r="F33" s="13">
        <f>[4]!EURCAD</f>
        <v>1.2287699999999999</v>
      </c>
      <c r="G33" s="14">
        <f>(E33-F33)*100000</f>
        <v>270.00000000001467</v>
      </c>
      <c r="H33" s="15">
        <f>(D33-C33)*10000</f>
        <v>3.5000000000007248</v>
      </c>
      <c r="I33" s="16" t="str">
        <f>[5]!EURCAD</f>
        <v>2012/08/02 05:07</v>
      </c>
      <c r="J33" s="17" t="str">
        <f>[6]!EURCAD</f>
        <v>2012/08/02 05:07 1.23057 1.23092</v>
      </c>
    </row>
    <row r="34" spans="2:10" x14ac:dyDescent="0.2">
      <c r="G34" s="30"/>
      <c r="H34" s="30"/>
    </row>
    <row r="35" spans="2:10" x14ac:dyDescent="0.2">
      <c r="B35" s="29" t="s">
        <v>24</v>
      </c>
      <c r="C35" s="10">
        <f>[1]!EURNZD</f>
        <v>1.5133399999999999</v>
      </c>
      <c r="D35" s="11">
        <f>[2]!EURNZD</f>
        <v>1.5139400000000001</v>
      </c>
      <c r="E35" s="12">
        <f>[3]!EURNZD</f>
        <v>1.5146200000000001</v>
      </c>
      <c r="F35" s="13">
        <f>[4]!EURNZD</f>
        <v>1.5094700000000001</v>
      </c>
      <c r="G35" s="14">
        <f>(E35-F35)*100000</f>
        <v>514.99999999999875</v>
      </c>
      <c r="H35" s="15">
        <f>(D35-C35)*10000</f>
        <v>6.0000000000015596</v>
      </c>
      <c r="I35" s="16" t="str">
        <f>[5]!EURNZD</f>
        <v>2012/08/02 05:07</v>
      </c>
      <c r="J35" s="17" t="str">
        <f>[6]!EURNZD</f>
        <v>2012/08/02 05:07 1.51330 1.51394</v>
      </c>
    </row>
    <row r="36" spans="2:10" x14ac:dyDescent="0.2">
      <c r="G36" s="30"/>
      <c r="H36" s="30"/>
    </row>
    <row r="37" spans="2:10" x14ac:dyDescent="0.2">
      <c r="G37" s="30"/>
      <c r="H37" s="30"/>
    </row>
    <row r="38" spans="2:10" ht="15.75" x14ac:dyDescent="0.25">
      <c r="B38" s="28" t="s">
        <v>16</v>
      </c>
      <c r="G38" s="30"/>
      <c r="H38" s="30"/>
    </row>
    <row r="39" spans="2:10" x14ac:dyDescent="0.2">
      <c r="G39" s="30"/>
      <c r="H39" s="30"/>
    </row>
    <row r="40" spans="2:10" x14ac:dyDescent="0.2">
      <c r="B40" s="5" t="s">
        <v>0</v>
      </c>
      <c r="C40" s="6" t="s">
        <v>1</v>
      </c>
      <c r="D40" s="6" t="s">
        <v>2</v>
      </c>
      <c r="E40" s="6" t="s">
        <v>3</v>
      </c>
      <c r="F40" s="6" t="s">
        <v>4</v>
      </c>
      <c r="G40" s="7" t="s">
        <v>18</v>
      </c>
      <c r="H40" s="8" t="s">
        <v>14</v>
      </c>
      <c r="I40" s="6" t="s">
        <v>5</v>
      </c>
      <c r="J40" s="6" t="s">
        <v>6</v>
      </c>
    </row>
    <row r="41" spans="2:10" x14ac:dyDescent="0.2">
      <c r="B41" s="29" t="s">
        <v>25</v>
      </c>
      <c r="C41" s="23">
        <f>[1]!GBPJPY</f>
        <v>121.952</v>
      </c>
      <c r="D41" s="24">
        <f>[2]!GBPJPY</f>
        <v>121.986</v>
      </c>
      <c r="E41" s="25">
        <f>[3]!GBPJPY</f>
        <v>122.00700000000001</v>
      </c>
      <c r="F41" s="26">
        <f>[4]!GBPJPY</f>
        <v>121.721</v>
      </c>
      <c r="G41" s="14">
        <f>(E41-F41)*1000</f>
        <v>286.00000000000136</v>
      </c>
      <c r="H41" s="15">
        <f>(D41-C41)*100</f>
        <v>3.4000000000006025</v>
      </c>
      <c r="I41" s="16" t="str">
        <f>[5]!GBPJPY</f>
        <v>2012/08/02 05:07</v>
      </c>
      <c r="J41" s="17" t="str">
        <f>[6]!GBPJPY</f>
        <v>2012/08/02 05:07 121.952 121.986</v>
      </c>
    </row>
    <row r="42" spans="2:10" x14ac:dyDescent="0.2">
      <c r="G42" s="30"/>
      <c r="H42" s="30"/>
    </row>
    <row r="43" spans="2:10" x14ac:dyDescent="0.2">
      <c r="B43" s="29" t="s">
        <v>26</v>
      </c>
      <c r="C43" s="10">
        <f>[1]!GBPCHF</f>
        <v>1.5248999999999999</v>
      </c>
      <c r="D43" s="11">
        <f>[2]!GBPCHF</f>
        <v>1.5253699999999999</v>
      </c>
      <c r="E43" s="12">
        <f>[3]!GBPCHF</f>
        <v>1.52661</v>
      </c>
      <c r="F43" s="13">
        <f>[4]!GBPCHF</f>
        <v>1.5236499999999999</v>
      </c>
      <c r="G43" s="14">
        <f>(E43-F43)*100000</f>
        <v>296.00000000000739</v>
      </c>
      <c r="H43" s="15">
        <f>(D43-C43)*10000</f>
        <v>4.6999999999997044</v>
      </c>
      <c r="I43" s="16" t="str">
        <f>[5]!GBPCHF</f>
        <v>2012/08/02 05:07</v>
      </c>
      <c r="J43" s="17" t="str">
        <f>[6]!GBPCHF</f>
        <v>2012/08/02 05:07 1.52490 1.52537</v>
      </c>
    </row>
    <row r="44" spans="2:10" x14ac:dyDescent="0.2">
      <c r="G44" s="30"/>
      <c r="H44" s="30"/>
    </row>
    <row r="45" spans="2:10" x14ac:dyDescent="0.2">
      <c r="B45" s="29" t="s">
        <v>27</v>
      </c>
      <c r="C45" s="10">
        <f>[1]!GBPAUD</f>
        <v>1.48275</v>
      </c>
      <c r="D45" s="11">
        <f>[2]!GBPAUD</f>
        <v>1.4831099999999999</v>
      </c>
      <c r="E45" s="12">
        <f>[3]!GBPAUD</f>
        <v>1.48753</v>
      </c>
      <c r="F45" s="13">
        <f>[4]!GBPAUD</f>
        <v>1.4819500000000001</v>
      </c>
      <c r="G45" s="14">
        <f>(E45-F45)*100000</f>
        <v>557.99999999999181</v>
      </c>
      <c r="H45" s="15">
        <f>(D45-C45)*10000</f>
        <v>3.5999999999991594</v>
      </c>
      <c r="I45" s="16" t="str">
        <f>[5]!GBPAUD</f>
        <v>2012/08/02 05:07</v>
      </c>
      <c r="J45" s="17" t="str">
        <f>[6]!GBPAUD</f>
        <v>2012/08/02 05:07 1.48275 1.48311</v>
      </c>
    </row>
    <row r="46" spans="2:10" x14ac:dyDescent="0.2">
      <c r="G46" s="30"/>
      <c r="H46" s="30"/>
    </row>
    <row r="47" spans="2:10" x14ac:dyDescent="0.2">
      <c r="B47" s="29" t="s">
        <v>28</v>
      </c>
      <c r="C47" s="10">
        <f>[1]!GBPCAD</f>
        <v>1.56202</v>
      </c>
      <c r="D47" s="11">
        <f>[2]!GBPCAD</f>
        <v>1.5624</v>
      </c>
      <c r="E47" s="12">
        <f>[3]!GBPCAD</f>
        <v>1.5623899999999999</v>
      </c>
      <c r="F47" s="13">
        <f>[4]!GBPCAD</f>
        <v>1.5600400000000001</v>
      </c>
      <c r="G47" s="14">
        <f>(E47-F47)*100000</f>
        <v>234.99999999998522</v>
      </c>
      <c r="H47" s="15">
        <f>(D47-C47)*10000</f>
        <v>3.8000000000004697</v>
      </c>
      <c r="I47" s="16" t="str">
        <f>[5]!GBPCAD</f>
        <v>2012/08/02 05:07</v>
      </c>
      <c r="J47" s="17" t="str">
        <f>[6]!GBPCAD</f>
        <v>2012/08/02 05:07 1.56202 1.56240</v>
      </c>
    </row>
    <row r="48" spans="2:10" x14ac:dyDescent="0.2">
      <c r="G48" s="30"/>
      <c r="H48" s="30"/>
    </row>
    <row r="49" spans="2:10" x14ac:dyDescent="0.2">
      <c r="B49" s="29" t="s">
        <v>29</v>
      </c>
      <c r="C49" s="10">
        <f>[1]!GBPNZD</f>
        <v>1.9211199999999999</v>
      </c>
      <c r="D49" s="11">
        <f>[2]!GBPNZD</f>
        <v>1.9216800000000001</v>
      </c>
      <c r="E49" s="12">
        <f>[3]!GBPNZD</f>
        <v>1.9232</v>
      </c>
      <c r="F49" s="13">
        <f>[4]!GBPNZD</f>
        <v>1.91615</v>
      </c>
      <c r="G49" s="14">
        <f>(E49-F49)*100000</f>
        <v>705.00000000000011</v>
      </c>
      <c r="H49" s="15">
        <f>(D49-C49)*10000</f>
        <v>5.6000000000011596</v>
      </c>
      <c r="I49" s="16" t="str">
        <f>[5]!GBPNZD</f>
        <v>2012/08/02 05:07</v>
      </c>
      <c r="J49" s="17" t="str">
        <f>[6]!GBPNZD</f>
        <v>2012/08/02 05:07 1.92112 1.92168</v>
      </c>
    </row>
    <row r="50" spans="2:10" x14ac:dyDescent="0.2">
      <c r="G50" s="30"/>
      <c r="H50" s="30"/>
    </row>
    <row r="51" spans="2:10" x14ac:dyDescent="0.2">
      <c r="G51" s="30"/>
      <c r="H51" s="30"/>
    </row>
    <row r="52" spans="2:10" ht="15.75" x14ac:dyDescent="0.25">
      <c r="B52" s="28" t="s">
        <v>17</v>
      </c>
      <c r="G52" s="30"/>
      <c r="H52" s="30"/>
    </row>
    <row r="53" spans="2:10" x14ac:dyDescent="0.2">
      <c r="G53" s="30"/>
      <c r="H53" s="30"/>
    </row>
    <row r="54" spans="2:10" x14ac:dyDescent="0.2">
      <c r="B54" s="5" t="s">
        <v>0</v>
      </c>
      <c r="C54" s="6" t="s">
        <v>1</v>
      </c>
      <c r="D54" s="6" t="s">
        <v>2</v>
      </c>
      <c r="E54" s="6" t="s">
        <v>3</v>
      </c>
      <c r="F54" s="6" t="s">
        <v>4</v>
      </c>
      <c r="G54" s="7" t="s">
        <v>18</v>
      </c>
      <c r="H54" s="8" t="s">
        <v>14</v>
      </c>
      <c r="I54" s="6" t="s">
        <v>5</v>
      </c>
      <c r="J54" s="6" t="s">
        <v>6</v>
      </c>
    </row>
    <row r="55" spans="2:10" x14ac:dyDescent="0.2">
      <c r="B55" s="29" t="s">
        <v>30</v>
      </c>
      <c r="C55" s="23">
        <f>[1]!CADJPY</f>
        <v>78.055000000000007</v>
      </c>
      <c r="D55" s="24">
        <f>[2]!CADJPY</f>
        <v>78.087000000000003</v>
      </c>
      <c r="E55" s="25">
        <f>[3]!CADJPY</f>
        <v>78.168999999999997</v>
      </c>
      <c r="F55" s="26">
        <f>[4]!CADJPY</f>
        <v>77.924999999999997</v>
      </c>
      <c r="G55" s="14">
        <f>(E55-F55)*1000</f>
        <v>243.99999999999977</v>
      </c>
      <c r="H55" s="15">
        <f>(D55-C55)*100</f>
        <v>3.1999999999996476</v>
      </c>
      <c r="I55" s="16" t="str">
        <f>[5]!CADJPY</f>
        <v>2012/08/02 05:07</v>
      </c>
      <c r="J55" s="17" t="str">
        <f>[6]!CADJPY</f>
        <v>2012/08/02 05:07 78.055 78.087</v>
      </c>
    </row>
    <row r="56" spans="2:10" x14ac:dyDescent="0.2">
      <c r="G56" s="30"/>
      <c r="H56" s="30"/>
    </row>
    <row r="57" spans="2:10" x14ac:dyDescent="0.2">
      <c r="B57" s="29" t="s">
        <v>31</v>
      </c>
      <c r="C57" s="10">
        <f>[1]!CADCHF</f>
        <v>0.97601000000000004</v>
      </c>
      <c r="D57" s="11">
        <f>[2]!CADCHF</f>
        <v>0.97650000000000003</v>
      </c>
      <c r="E57" s="12">
        <f>[3]!CADCHF</f>
        <v>0.97724999999999995</v>
      </c>
      <c r="F57" s="13">
        <f>[4]!CADCHF</f>
        <v>0.97533999999999998</v>
      </c>
      <c r="G57" s="14">
        <f>(E57-F57)*100000</f>
        <v>190.99999999999673</v>
      </c>
      <c r="H57" s="15">
        <f>(D57-C57)*10000</f>
        <v>4.8999999999999044</v>
      </c>
      <c r="I57" s="16" t="str">
        <f>[5]!CADCHF</f>
        <v>2012/08/02 05:07</v>
      </c>
      <c r="J57" s="17" t="str">
        <f>[6]!CADCHF</f>
        <v>2012/08/02 05:07 0.97601 0.97650</v>
      </c>
    </row>
    <row r="58" spans="2:10" x14ac:dyDescent="0.2">
      <c r="G58" s="30"/>
      <c r="H58" s="30"/>
    </row>
    <row r="59" spans="2:10" x14ac:dyDescent="0.2">
      <c r="B59" s="29" t="s">
        <v>32</v>
      </c>
      <c r="C59" s="23">
        <f>[1]!CHFJPY</f>
        <v>79.953000000000003</v>
      </c>
      <c r="D59" s="24">
        <f>[2]!CHFJPY</f>
        <v>79.983999999999995</v>
      </c>
      <c r="E59" s="25">
        <f>[3]!CHFJPY</f>
        <v>80.024000000000001</v>
      </c>
      <c r="F59" s="26">
        <f>[4]!CHFJPY</f>
        <v>79.753</v>
      </c>
      <c r="G59" s="14">
        <f>(E59-F59)*1000</f>
        <v>271.0000000000008</v>
      </c>
      <c r="H59" s="15">
        <f>(D59-C59)*100</f>
        <v>3.0999999999991701</v>
      </c>
      <c r="I59" s="16" t="str">
        <f>[5]!CHFJPY</f>
        <v>2012/08/02 05:07</v>
      </c>
      <c r="J59" s="17" t="str">
        <f>[6]!CHFJPY</f>
        <v>2012/08/02 05:07 79.953 79.984</v>
      </c>
    </row>
    <row r="60" spans="2:10" x14ac:dyDescent="0.2">
      <c r="G60" s="30"/>
      <c r="H60" s="30"/>
    </row>
    <row r="61" spans="2:10" x14ac:dyDescent="0.2">
      <c r="B61" s="29" t="s">
        <v>33</v>
      </c>
      <c r="C61" s="10">
        <f>[1]!AUDCAD</f>
        <v>1.05335</v>
      </c>
      <c r="D61" s="11">
        <f>[2]!AUDCAD</f>
        <v>1.05369</v>
      </c>
      <c r="E61" s="12">
        <f>[3]!AUDCAD</f>
        <v>1.0538099999999999</v>
      </c>
      <c r="F61" s="13">
        <f>[4]!AUDCAD</f>
        <v>1.0495099999999999</v>
      </c>
      <c r="G61" s="14">
        <f>(E61-F61)*100000</f>
        <v>429.99999999999704</v>
      </c>
      <c r="H61" s="15">
        <f>(D61-C61)*10000</f>
        <v>3.4000000000000696</v>
      </c>
      <c r="I61" s="16" t="str">
        <f>[5]!AUDCAD</f>
        <v>2012/08/02 05:07</v>
      </c>
      <c r="J61" s="17" t="str">
        <f>[6]!AUDCAD</f>
        <v>2012/08/02 05:07 1.05335 1.05369</v>
      </c>
    </row>
    <row r="62" spans="2:10" x14ac:dyDescent="0.2">
      <c r="G62" s="30"/>
      <c r="H62" s="30"/>
    </row>
    <row r="63" spans="2:10" x14ac:dyDescent="0.2">
      <c r="B63" s="29" t="s">
        <v>34</v>
      </c>
      <c r="C63" s="10">
        <f>[1]!AUDCHF</f>
        <v>1.0283</v>
      </c>
      <c r="D63" s="11">
        <f>[2]!AUDCHF</f>
        <v>1.02867</v>
      </c>
      <c r="E63" s="12">
        <f>[3]!AUDCHF</f>
        <v>1.0284899999999999</v>
      </c>
      <c r="F63" s="13">
        <f>[4]!AUDCHF</f>
        <v>1.02563</v>
      </c>
      <c r="G63" s="14">
        <f>(E63-F63)*100000</f>
        <v>285.99999999998624</v>
      </c>
      <c r="H63" s="15">
        <f>(D63-C63)*10000</f>
        <v>3.6999999999998145</v>
      </c>
      <c r="I63" s="16" t="str">
        <f>[5]!AUDCHF</f>
        <v>2012/08/02 05:07</v>
      </c>
      <c r="J63" s="17" t="str">
        <f>[6]!AUDCHF</f>
        <v>2012/08/02 05:07 1.02830 1.02867</v>
      </c>
    </row>
    <row r="64" spans="2:10" x14ac:dyDescent="0.2">
      <c r="G64" s="30"/>
      <c r="H64" s="30"/>
    </row>
    <row r="65" spans="2:10" x14ac:dyDescent="0.2">
      <c r="B65" s="29" t="s">
        <v>35</v>
      </c>
      <c r="C65" s="23">
        <f>[1]!AUDJPY</f>
        <v>82.233999999999995</v>
      </c>
      <c r="D65" s="24">
        <f>[2]!AUDJPY</f>
        <v>82.265000000000001</v>
      </c>
      <c r="E65" s="25">
        <f>[3]!AUDJPY</f>
        <v>82.308000000000007</v>
      </c>
      <c r="F65" s="26">
        <f>[4]!AUDJPY</f>
        <v>81.867000000000004</v>
      </c>
      <c r="G65" s="14">
        <f>(E65-F65)*1000</f>
        <v>441.0000000000025</v>
      </c>
      <c r="H65" s="15">
        <f>(D65-C65)*100</f>
        <v>3.1000000000005912</v>
      </c>
      <c r="I65" s="16" t="str">
        <f>[5]!AUDJPY</f>
        <v>2012/08/02 05:07</v>
      </c>
      <c r="J65" s="17" t="str">
        <f>[6]!AUDJPY</f>
        <v>2012/08/02 05:07 82.234 82.265</v>
      </c>
    </row>
    <row r="66" spans="2:10" x14ac:dyDescent="0.2">
      <c r="G66" s="30"/>
      <c r="H66" s="30"/>
    </row>
    <row r="67" spans="2:10" x14ac:dyDescent="0.2">
      <c r="B67" s="29" t="s">
        <v>36</v>
      </c>
      <c r="C67" s="10">
        <f>[1]!AUDNZD</f>
        <v>1.29556</v>
      </c>
      <c r="D67" s="11">
        <f>[2]!AUDNZD</f>
        <v>1.2960499999999999</v>
      </c>
      <c r="E67" s="12">
        <f>[3]!AUDNZD</f>
        <v>1.29596</v>
      </c>
      <c r="F67" s="13">
        <f>[4]!AUDNZD</f>
        <v>1.29173</v>
      </c>
      <c r="G67" s="14">
        <f>(E67-F67)*100000</f>
        <v>422.99999999999562</v>
      </c>
      <c r="H67" s="15">
        <f>(D67-C67)*10000</f>
        <v>4.8999999999987942</v>
      </c>
      <c r="I67" s="16" t="str">
        <f>[5]!AUDNZD</f>
        <v>2012/08/02 05:07</v>
      </c>
      <c r="J67" s="17" t="str">
        <f>[6]!AUDNZD</f>
        <v>2012/08/02 05:07 1.29556 1.29605</v>
      </c>
    </row>
    <row r="68" spans="2:10" x14ac:dyDescent="0.2">
      <c r="G68" s="30"/>
      <c r="H68" s="30"/>
    </row>
    <row r="69" spans="2:10" x14ac:dyDescent="0.2">
      <c r="B69" s="29" t="s">
        <v>37</v>
      </c>
      <c r="C69" s="23">
        <f>[1]!NZDJPY</f>
        <v>63.462000000000003</v>
      </c>
      <c r="D69" s="24">
        <f>[2]!NZDJPY</f>
        <v>63.5</v>
      </c>
      <c r="E69" s="25">
        <f>[3]!NZDJPY</f>
        <v>63.588000000000001</v>
      </c>
      <c r="F69" s="26">
        <f>[4]!NZDJPY</f>
        <v>63.31</v>
      </c>
      <c r="G69" s="14">
        <f>(E69-F69)*1000</f>
        <v>277.99999999999869</v>
      </c>
      <c r="H69" s="15">
        <f>(D69-C69)*100</f>
        <v>3.7999999999996703</v>
      </c>
      <c r="I69" s="16" t="str">
        <f>[5]!NZDJPY</f>
        <v>2012/08/02 05:07</v>
      </c>
      <c r="J69" s="17" t="str">
        <f>[6]!NZDJPY</f>
        <v>2012/08/02 05:07 63.462 63.500</v>
      </c>
    </row>
  </sheetData>
  <sheetProtection password="DF96" sheet="1" scenarios="1"/>
  <mergeCells count="1">
    <mergeCell ref="A1:J1"/>
  </mergeCells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Live Data</vt:lpstr>
    </vt:vector>
  </TitlesOfParts>
  <Company>METAQUOTES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</dc:creator>
  <cp:lastModifiedBy>ZGC</cp:lastModifiedBy>
  <dcterms:created xsi:type="dcterms:W3CDTF">2005-06-06T12:13:22Z</dcterms:created>
  <dcterms:modified xsi:type="dcterms:W3CDTF">2012-08-02T05:08:08Z</dcterms:modified>
</cp:coreProperties>
</file>